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X:\Планово-экономический отдел\Губкина\Раскрытие информации\Передача тепловой энергии, теплоносителя АО ХТК 2024 год\Balance_ББ_факт\на сайт\"/>
    </mc:Choice>
  </mc:AlternateContent>
  <xr:revisionPtr revIDLastSave="0" documentId="8_{C5685826-B66E-488F-B1B7-853A3CB701F0}" xr6:coauthVersionLast="47" xr6:coauthVersionMax="47" xr10:uidLastSave="{00000000-0000-0000-0000-000000000000}"/>
  <bookViews>
    <workbookView xWindow="-120" yWindow="-120" windowWidth="29040" windowHeight="15840" tabRatio="852" firstSheet="2"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r:id="rId37"/>
    <sheet name="Ограничения" sheetId="38" state="hidden" r:id="rId38"/>
    <sheet name="ИП" sheetId="39" r:id="rId39"/>
    <sheet name="ИП. Детализация" sheetId="40" r:id="rId40"/>
    <sheet name="ИП. Финансовый план" sheetId="41" state="hidden" r:id="rId41"/>
    <sheet name="ИП. КНЭ" sheetId="42" r:id="rId42"/>
    <sheet name="ТП" sheetId="43" state="hidden"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Дифференциация!$I$12:$I$17</definedName>
    <definedName name="DIFFERENTIATION_AREA_ID">Дифференциация!$U$11:$U$18</definedName>
    <definedName name="DIFFERENTIATION_CheckC">Дифференциация!$D$12:$M$17</definedName>
    <definedName name="DIFFERENTIATION_fieldMarker">Дифференциация!$W$12:$W$17</definedName>
    <definedName name="DIFFERENTIATION_ID">TEHSHEET!$E$57</definedName>
    <definedName name="DIFFERENTIATION_ID_DIFF">Дифференциация!$O$12:$O$17</definedName>
    <definedName name="DIFFERENTIATION_SYSTEM">Дифференциация!$M$12:$M$17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Дифференциация!$Q$12:$Q$17</definedName>
    <definedName name="DIFFERENTIATION_UNMERGE_SYSTEM">Дифференциация!$R$12:$R$17</definedName>
    <definedName name="DIFFERENTIATION_UNMERGE_VD">Дифференциация!$P$12:$P$17</definedName>
    <definedName name="DIFFERENTIATION_VD">Дифференциация!$E$12:$E$17</definedName>
    <definedName name="DIFFERENTIATION_VD_ID">Дифференциация!$V$11:$V$18</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5">'ИП. Детализация'!$14:$225</definedName>
    <definedName name="IP_DETAILED_IST_FIN_FACT_COLUMN_MARKER">'ИП. Детализация'!$AD$7</definedName>
    <definedName name="IP_DETAILED_LIST_IP_ID">'ИП. Детализация'!$A$226:$A$226</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5">'ИП. Финансовый план'!$K$11:$Q$11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5">ИП!$13:$14</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5">'ИП. КНЭ'!$21:$23</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Дифференциация!$G$12:$G$17</definedName>
    <definedName name="pDel_DIFFERENTIATION_SYSTEM">Дифференциация!$K$12:$K$17</definedName>
    <definedName name="pDel_DIFFERENTIATION_VD">Дифференциация!$C$12:$C$17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Детализация'!$F$226</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Т-подкл(инд)'!$44:$55</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Т-подкл(инд)'!$45:$54</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Т-подкл(инд)'!$42:$58</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Т-подкл(инд)'!$43:$56</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Дифференциация!$F$12:$F$17</definedName>
    <definedName name="Y_N_DIFFERENTIATION_SYSTEM">Дифференциация!$J$12:$J$17</definedName>
    <definedName name="YEAR_IP_LIST">TEHSHEET!$BE$2:$BE$72</definedName>
    <definedName name="year_list">TEHSHEET!$C$2:$C$6</definedName>
    <definedName name="year_list1">TEHSHEET!$B$2:$B$27</definedName>
  </definedNames>
  <calcPr calcId="181029"/>
</workbook>
</file>

<file path=xl/calcChain.xml><?xml version="1.0" encoding="utf-8"?>
<calcChain xmlns="http://schemas.openxmlformats.org/spreadsheetml/2006/main">
  <c r="AA32" i="62" l="1"/>
  <c r="AA31" i="62"/>
  <c r="AA30" i="62"/>
  <c r="AA29" i="62"/>
  <c r="AA28" i="62"/>
  <c r="AA27" i="62"/>
  <c r="AA26" i="62"/>
  <c r="R26" i="62"/>
  <c r="AA25" i="62"/>
  <c r="Y25" i="62"/>
  <c r="AA24" i="62"/>
  <c r="AA23" i="62"/>
  <c r="AA22" i="62"/>
  <c r="AA21" i="62"/>
  <c r="AA20" i="62"/>
  <c r="AA19" i="62"/>
  <c r="W18" i="62"/>
  <c r="X18" i="62" s="1"/>
  <c r="R18" i="62"/>
  <c r="S18" i="62" s="1"/>
  <c r="T18" i="62" s="1"/>
  <c r="V18" i="62" s="1"/>
  <c r="Q18" i="62"/>
  <c r="N18" i="62"/>
  <c r="O18" i="62" s="1"/>
  <c r="O11" i="62"/>
  <c r="O10" i="62"/>
  <c r="O9" i="62"/>
  <c r="O8" i="62"/>
  <c r="L6" i="62"/>
  <c r="M148" i="61"/>
  <c r="M101" i="61"/>
  <c r="K101" i="61"/>
  <c r="N101" i="61" s="1"/>
  <c r="J101" i="61"/>
  <c r="I101" i="61"/>
  <c r="L101" i="61" s="1"/>
  <c r="M100" i="61"/>
  <c r="K100" i="61"/>
  <c r="N100" i="61" s="1"/>
  <c r="J100" i="61"/>
  <c r="I100" i="61"/>
  <c r="L100" i="61" s="1"/>
  <c r="M99" i="61"/>
  <c r="K99" i="61"/>
  <c r="N99" i="61" s="1"/>
  <c r="J99" i="61"/>
  <c r="I99" i="61"/>
  <c r="L99" i="61" s="1"/>
  <c r="M98" i="61"/>
  <c r="K98" i="61"/>
  <c r="N98" i="61" s="1"/>
  <c r="J98" i="61"/>
  <c r="I98" i="61"/>
  <c r="L98" i="61" s="1"/>
  <c r="M97" i="61"/>
  <c r="K97" i="61"/>
  <c r="N97" i="61" s="1"/>
  <c r="J97" i="61"/>
  <c r="I97" i="61"/>
  <c r="L97" i="61" s="1"/>
  <c r="M96" i="61"/>
  <c r="K96" i="61"/>
  <c r="N96" i="61" s="1"/>
  <c r="J96" i="61"/>
  <c r="I96" i="61"/>
  <c r="L96" i="61" s="1"/>
  <c r="M95" i="61"/>
  <c r="K95" i="61"/>
  <c r="N95" i="61" s="1"/>
  <c r="J95" i="61"/>
  <c r="I95" i="61"/>
  <c r="L95" i="61" s="1"/>
  <c r="M94" i="61"/>
  <c r="K94" i="61"/>
  <c r="N94" i="61" s="1"/>
  <c r="J94" i="61"/>
  <c r="I94" i="61"/>
  <c r="L94" i="61" s="1"/>
  <c r="M93" i="61"/>
  <c r="K93" i="61"/>
  <c r="N93" i="61" s="1"/>
  <c r="J93" i="61"/>
  <c r="I93" i="61"/>
  <c r="L93" i="61" s="1"/>
  <c r="M92" i="61"/>
  <c r="K92" i="61"/>
  <c r="N92" i="61" s="1"/>
  <c r="J92" i="61"/>
  <c r="I92" i="61"/>
  <c r="L92" i="61" s="1"/>
  <c r="M91" i="61"/>
  <c r="K91" i="61"/>
  <c r="N91" i="61" s="1"/>
  <c r="J91" i="61"/>
  <c r="I91" i="61"/>
  <c r="L91" i="61" s="1"/>
  <c r="M90" i="61"/>
  <c r="K90" i="61"/>
  <c r="N90" i="61" s="1"/>
  <c r="J90" i="61"/>
  <c r="I90" i="61"/>
  <c r="L90" i="61" s="1"/>
  <c r="M89" i="61"/>
  <c r="K89" i="61"/>
  <c r="N89" i="61" s="1"/>
  <c r="J89" i="61"/>
  <c r="I89" i="61"/>
  <c r="L89" i="61" s="1"/>
  <c r="M88" i="61"/>
  <c r="K88" i="61"/>
  <c r="N88" i="61" s="1"/>
  <c r="J88" i="61"/>
  <c r="I88" i="61"/>
  <c r="L88" i="61" s="1"/>
  <c r="M87" i="61"/>
  <c r="K87" i="61"/>
  <c r="N87" i="61" s="1"/>
  <c r="J87" i="61"/>
  <c r="I87" i="61"/>
  <c r="L87" i="61" s="1"/>
  <c r="M86" i="61"/>
  <c r="K86" i="61"/>
  <c r="N86" i="61" s="1"/>
  <c r="J86" i="61"/>
  <c r="I86" i="61"/>
  <c r="L86" i="61" s="1"/>
  <c r="M85" i="61"/>
  <c r="K85" i="61"/>
  <c r="N85" i="61" s="1"/>
  <c r="J85" i="61"/>
  <c r="I85" i="61"/>
  <c r="L85" i="61" s="1"/>
  <c r="M84" i="61"/>
  <c r="K84" i="61"/>
  <c r="N84" i="61" s="1"/>
  <c r="J84" i="61"/>
  <c r="I84" i="61"/>
  <c r="L84" i="61" s="1"/>
  <c r="M83" i="61"/>
  <c r="K83" i="61"/>
  <c r="N83" i="61" s="1"/>
  <c r="J83" i="61"/>
  <c r="I83" i="61"/>
  <c r="L83" i="61" s="1"/>
  <c r="M82" i="61"/>
  <c r="K82" i="61"/>
  <c r="N82" i="61" s="1"/>
  <c r="J82" i="61"/>
  <c r="I82" i="61"/>
  <c r="L82" i="61" s="1"/>
  <c r="M81" i="61"/>
  <c r="K81" i="61"/>
  <c r="N81" i="61" s="1"/>
  <c r="J81" i="61"/>
  <c r="I81" i="61"/>
  <c r="L81" i="61" s="1"/>
  <c r="M80" i="61"/>
  <c r="K80" i="61"/>
  <c r="N80" i="61" s="1"/>
  <c r="J80" i="61"/>
  <c r="I80" i="61"/>
  <c r="L80" i="61" s="1"/>
  <c r="M79" i="61"/>
  <c r="K79" i="61"/>
  <c r="N79" i="61" s="1"/>
  <c r="J79" i="61"/>
  <c r="I79" i="61"/>
  <c r="L79" i="61" s="1"/>
  <c r="M78" i="61"/>
  <c r="K78" i="61"/>
  <c r="N78" i="61" s="1"/>
  <c r="J78" i="61"/>
  <c r="I78" i="61"/>
  <c r="L78" i="61" s="1"/>
  <c r="M77" i="61"/>
  <c r="K77" i="61"/>
  <c r="N77" i="61" s="1"/>
  <c r="J77" i="61"/>
  <c r="I77" i="61"/>
  <c r="L77" i="61" s="1"/>
  <c r="M76" i="61"/>
  <c r="K76" i="61"/>
  <c r="N76" i="61" s="1"/>
  <c r="J76" i="61"/>
  <c r="I76" i="61"/>
  <c r="L76" i="61" s="1"/>
  <c r="M75" i="61"/>
  <c r="K75" i="61"/>
  <c r="N75" i="61" s="1"/>
  <c r="J75" i="61"/>
  <c r="I75" i="61"/>
  <c r="L75" i="61" s="1"/>
  <c r="M74" i="61"/>
  <c r="K74" i="61"/>
  <c r="N74" i="61" s="1"/>
  <c r="J74" i="61"/>
  <c r="I74" i="61"/>
  <c r="L74" i="61" s="1"/>
  <c r="M73" i="61"/>
  <c r="K73" i="61"/>
  <c r="N73" i="61" s="1"/>
  <c r="J73" i="61"/>
  <c r="I73" i="61"/>
  <c r="L73" i="61" s="1"/>
  <c r="M72" i="61"/>
  <c r="K72" i="61"/>
  <c r="N72" i="61" s="1"/>
  <c r="J72" i="61"/>
  <c r="I72" i="61"/>
  <c r="L72" i="61" s="1"/>
  <c r="M71" i="61"/>
  <c r="K71" i="61"/>
  <c r="N71" i="61" s="1"/>
  <c r="J71" i="61"/>
  <c r="I71" i="61"/>
  <c r="L71" i="61" s="1"/>
  <c r="M70" i="61"/>
  <c r="K70" i="61"/>
  <c r="N70" i="61" s="1"/>
  <c r="J70" i="61"/>
  <c r="I70" i="61"/>
  <c r="L70" i="61" s="1"/>
  <c r="M69" i="61"/>
  <c r="K69" i="61"/>
  <c r="N69" i="61" s="1"/>
  <c r="J69" i="61"/>
  <c r="I69" i="61"/>
  <c r="L69" i="61" s="1"/>
  <c r="M68" i="61"/>
  <c r="K68" i="61"/>
  <c r="N68" i="61" s="1"/>
  <c r="J68" i="61"/>
  <c r="I68" i="61"/>
  <c r="L68" i="61" s="1"/>
  <c r="M67" i="61"/>
  <c r="K67" i="61"/>
  <c r="N67" i="61" s="1"/>
  <c r="J67" i="61"/>
  <c r="I67" i="61"/>
  <c r="L67" i="61" s="1"/>
  <c r="M66" i="61"/>
  <c r="K66" i="61"/>
  <c r="N66" i="61" s="1"/>
  <c r="J66" i="61"/>
  <c r="I66" i="61"/>
  <c r="L66" i="61" s="1"/>
  <c r="M65" i="61"/>
  <c r="K65" i="61"/>
  <c r="N65" i="61" s="1"/>
  <c r="J65" i="61"/>
  <c r="I65" i="61"/>
  <c r="L65" i="61" s="1"/>
  <c r="M64" i="61"/>
  <c r="K64" i="61"/>
  <c r="N64" i="61" s="1"/>
  <c r="J64" i="61"/>
  <c r="I64" i="61"/>
  <c r="L64" i="61" s="1"/>
  <c r="M63" i="61"/>
  <c r="K63" i="61"/>
  <c r="N63" i="61" s="1"/>
  <c r="J63" i="61"/>
  <c r="I63" i="61"/>
  <c r="L63" i="61" s="1"/>
  <c r="M62" i="61"/>
  <c r="K62" i="61"/>
  <c r="N62" i="61" s="1"/>
  <c r="J62" i="61"/>
  <c r="I62" i="61"/>
  <c r="L62" i="61" s="1"/>
  <c r="M61" i="61"/>
  <c r="K61" i="61"/>
  <c r="N61" i="61" s="1"/>
  <c r="J61" i="61"/>
  <c r="I61" i="61"/>
  <c r="L61" i="61" s="1"/>
  <c r="M60" i="61"/>
  <c r="K60" i="61"/>
  <c r="N60" i="61" s="1"/>
  <c r="J60" i="61"/>
  <c r="I60" i="61"/>
  <c r="L60" i="61" s="1"/>
  <c r="M59" i="61"/>
  <c r="K59" i="61"/>
  <c r="N59" i="61" s="1"/>
  <c r="J59" i="61"/>
  <c r="I59" i="61"/>
  <c r="L59" i="61" s="1"/>
  <c r="M58" i="61"/>
  <c r="K58" i="61"/>
  <c r="N58" i="61" s="1"/>
  <c r="J58" i="61"/>
  <c r="I58" i="61"/>
  <c r="L58" i="61" s="1"/>
  <c r="M57" i="61"/>
  <c r="K57" i="61"/>
  <c r="N57" i="61" s="1"/>
  <c r="J57" i="61"/>
  <c r="I57" i="61"/>
  <c r="L57" i="61" s="1"/>
  <c r="M56" i="61"/>
  <c r="K56" i="61"/>
  <c r="N56" i="61" s="1"/>
  <c r="J56" i="61"/>
  <c r="I56" i="61"/>
  <c r="L56" i="61" s="1"/>
  <c r="M55" i="61"/>
  <c r="K55" i="61"/>
  <c r="N55" i="61" s="1"/>
  <c r="J55" i="61"/>
  <c r="I55" i="61"/>
  <c r="L55" i="61" s="1"/>
  <c r="M54" i="61"/>
  <c r="K54" i="61"/>
  <c r="N54" i="61" s="1"/>
  <c r="J54" i="61"/>
  <c r="I54" i="61"/>
  <c r="L54" i="61" s="1"/>
  <c r="M53" i="61"/>
  <c r="K53" i="61"/>
  <c r="N53" i="61" s="1"/>
  <c r="J53" i="61"/>
  <c r="I53" i="61"/>
  <c r="L53" i="61" s="1"/>
  <c r="M52" i="61"/>
  <c r="K52" i="61"/>
  <c r="N52" i="61" s="1"/>
  <c r="J52" i="61"/>
  <c r="I52" i="61"/>
  <c r="L52" i="61" s="1"/>
  <c r="M51" i="61"/>
  <c r="K51" i="61"/>
  <c r="N51" i="61" s="1"/>
  <c r="J51" i="61"/>
  <c r="I51" i="61"/>
  <c r="L51" i="61" s="1"/>
  <c r="M50" i="61"/>
  <c r="K50" i="61"/>
  <c r="N50" i="61" s="1"/>
  <c r="J50" i="61"/>
  <c r="I50" i="61"/>
  <c r="L50" i="61" s="1"/>
  <c r="M49" i="61"/>
  <c r="K49" i="61"/>
  <c r="N49" i="61" s="1"/>
  <c r="J49" i="61"/>
  <c r="I49" i="61"/>
  <c r="L49" i="61" s="1"/>
  <c r="M48" i="61"/>
  <c r="K48" i="61"/>
  <c r="N48" i="61" s="1"/>
  <c r="J48" i="61"/>
  <c r="I48" i="61"/>
  <c r="L48" i="61" s="1"/>
  <c r="M47" i="61"/>
  <c r="K47" i="61"/>
  <c r="N47" i="61" s="1"/>
  <c r="J47" i="61"/>
  <c r="I47" i="61"/>
  <c r="L47" i="61" s="1"/>
  <c r="M46" i="61"/>
  <c r="K46" i="61"/>
  <c r="N46" i="61" s="1"/>
  <c r="J46" i="61"/>
  <c r="I46" i="61"/>
  <c r="L46" i="61" s="1"/>
  <c r="M45" i="61"/>
  <c r="K45" i="61"/>
  <c r="N45" i="61" s="1"/>
  <c r="J45" i="61"/>
  <c r="I45" i="61"/>
  <c r="L45" i="61" s="1"/>
  <c r="M44" i="61"/>
  <c r="K44" i="61"/>
  <c r="N44" i="61" s="1"/>
  <c r="J44" i="61"/>
  <c r="I44" i="61"/>
  <c r="L44" i="61" s="1"/>
  <c r="M43" i="61"/>
  <c r="K43" i="61"/>
  <c r="N43" i="61" s="1"/>
  <c r="J43" i="61"/>
  <c r="I43" i="61"/>
  <c r="L43" i="61" s="1"/>
  <c r="M42" i="61"/>
  <c r="K42" i="61"/>
  <c r="N42" i="61" s="1"/>
  <c r="J42" i="61"/>
  <c r="I42" i="61"/>
  <c r="L42" i="61" s="1"/>
  <c r="M41" i="61"/>
  <c r="K41" i="61"/>
  <c r="N41" i="61" s="1"/>
  <c r="J41" i="61"/>
  <c r="I41" i="61"/>
  <c r="L41" i="61" s="1"/>
  <c r="M40" i="61"/>
  <c r="K40" i="61"/>
  <c r="N40" i="61" s="1"/>
  <c r="J40" i="61"/>
  <c r="I40" i="61"/>
  <c r="L40" i="61" s="1"/>
  <c r="M39" i="61"/>
  <c r="K39" i="61"/>
  <c r="N39" i="61" s="1"/>
  <c r="J39" i="61"/>
  <c r="I39" i="61"/>
  <c r="L39" i="61" s="1"/>
  <c r="M38" i="61"/>
  <c r="K38" i="61"/>
  <c r="N38" i="61" s="1"/>
  <c r="J38" i="61"/>
  <c r="I38" i="61"/>
  <c r="L38" i="61" s="1"/>
  <c r="M37" i="61"/>
  <c r="K37" i="61"/>
  <c r="N37" i="61" s="1"/>
  <c r="J37" i="61"/>
  <c r="I37" i="61"/>
  <c r="L37" i="61" s="1"/>
  <c r="M36" i="61"/>
  <c r="K36" i="61"/>
  <c r="N36" i="61" s="1"/>
  <c r="J36" i="61"/>
  <c r="I36" i="61"/>
  <c r="L36" i="61" s="1"/>
  <c r="M35" i="61"/>
  <c r="K35" i="61"/>
  <c r="N35" i="61" s="1"/>
  <c r="J35" i="61"/>
  <c r="I35" i="61"/>
  <c r="L35" i="61" s="1"/>
  <c r="M34" i="61"/>
  <c r="K34" i="61"/>
  <c r="N34" i="61" s="1"/>
  <c r="J34" i="61"/>
  <c r="I34" i="61"/>
  <c r="L34" i="61" s="1"/>
  <c r="M33" i="61"/>
  <c r="K33" i="61"/>
  <c r="N33" i="61" s="1"/>
  <c r="J33" i="61"/>
  <c r="I33" i="61"/>
  <c r="L33" i="61" s="1"/>
  <c r="M32" i="61"/>
  <c r="K32" i="61"/>
  <c r="N32" i="61" s="1"/>
  <c r="J32" i="61"/>
  <c r="I32" i="61"/>
  <c r="L32" i="61" s="1"/>
  <c r="M31" i="61"/>
  <c r="K31" i="61"/>
  <c r="N31" i="61" s="1"/>
  <c r="J31" i="61"/>
  <c r="I31" i="61"/>
  <c r="L31" i="61" s="1"/>
  <c r="M30" i="61"/>
  <c r="K30" i="61"/>
  <c r="N30" i="61" s="1"/>
  <c r="J30" i="61"/>
  <c r="I30" i="61"/>
  <c r="L30" i="61" s="1"/>
  <c r="M29" i="61"/>
  <c r="K29" i="61"/>
  <c r="N29" i="61" s="1"/>
  <c r="J29" i="61"/>
  <c r="I29" i="61"/>
  <c r="L29" i="61" s="1"/>
  <c r="M28" i="61"/>
  <c r="K28" i="61"/>
  <c r="N28" i="61" s="1"/>
  <c r="J28" i="61"/>
  <c r="I28" i="61"/>
  <c r="L28" i="61" s="1"/>
  <c r="M27" i="61"/>
  <c r="K27" i="61"/>
  <c r="N27" i="61" s="1"/>
  <c r="J27" i="61"/>
  <c r="I27" i="61"/>
  <c r="L27" i="61" s="1"/>
  <c r="M26" i="61"/>
  <c r="K26" i="61"/>
  <c r="N26" i="61" s="1"/>
  <c r="J26" i="61"/>
  <c r="I26" i="61"/>
  <c r="L26" i="61" s="1"/>
  <c r="M25" i="61"/>
  <c r="K25" i="61"/>
  <c r="N25" i="61" s="1"/>
  <c r="J25" i="61"/>
  <c r="I25" i="61"/>
  <c r="L25" i="61" s="1"/>
  <c r="M24" i="61"/>
  <c r="K24" i="61"/>
  <c r="N24" i="61" s="1"/>
  <c r="J24" i="61"/>
  <c r="I24" i="61"/>
  <c r="L24" i="61" s="1"/>
  <c r="M23" i="61"/>
  <c r="K23" i="61"/>
  <c r="N23" i="61" s="1"/>
  <c r="K42" i="33" s="1"/>
  <c r="J23" i="61"/>
  <c r="I23" i="61"/>
  <c r="L23" i="61" s="1"/>
  <c r="M22" i="61"/>
  <c r="L22" i="61"/>
  <c r="K22" i="61"/>
  <c r="N22" i="61" s="1"/>
  <c r="J22" i="61"/>
  <c r="I22" i="61"/>
  <c r="N21" i="61"/>
  <c r="K21" i="61"/>
  <c r="J21" i="61"/>
  <c r="M21" i="61" s="1"/>
  <c r="I21" i="61"/>
  <c r="L21" i="61" s="1"/>
  <c r="M20" i="61"/>
  <c r="L20" i="61"/>
  <c r="K20" i="61"/>
  <c r="N20" i="61" s="1"/>
  <c r="J20" i="61"/>
  <c r="I20" i="61"/>
  <c r="N19" i="61"/>
  <c r="K19" i="61"/>
  <c r="J19" i="61"/>
  <c r="M19" i="61" s="1"/>
  <c r="I19" i="61"/>
  <c r="L19" i="61" s="1"/>
  <c r="M18" i="61"/>
  <c r="L18" i="61"/>
  <c r="K18" i="61"/>
  <c r="N18" i="61" s="1"/>
  <c r="K30" i="33" s="1"/>
  <c r="J18" i="61"/>
  <c r="I18" i="61"/>
  <c r="N16" i="61"/>
  <c r="N15" i="61"/>
  <c r="M15" i="61"/>
  <c r="N14" i="61"/>
  <c r="M14" i="61"/>
  <c r="N13" i="61"/>
  <c r="M13" i="61"/>
  <c r="N12" i="61"/>
  <c r="M12" i="61"/>
  <c r="N11" i="61"/>
  <c r="M11" i="61"/>
  <c r="N3" i="61"/>
  <c r="C34" i="60"/>
  <c r="C32" i="60"/>
  <c r="C31" i="60"/>
  <c r="C30" i="60"/>
  <c r="C29" i="60"/>
  <c r="C8" i="60"/>
  <c r="C7" i="60"/>
  <c r="C6" i="60"/>
  <c r="C5" i="60"/>
  <c r="C4" i="60"/>
  <c r="C3" i="60"/>
  <c r="C2" i="60"/>
  <c r="V202" i="59"/>
  <c r="N187" i="59"/>
  <c r="N182" i="59"/>
  <c r="N176" i="59"/>
  <c r="N165" i="59"/>
  <c r="N160" i="59"/>
  <c r="N154" i="59"/>
  <c r="R139" i="59"/>
  <c r="Q139" i="59"/>
  <c r="V130" i="59"/>
  <c r="Q130" i="59"/>
  <c r="H129" i="59"/>
  <c r="H128" i="59"/>
  <c r="H127" i="59"/>
  <c r="V121" i="59"/>
  <c r="Q121" i="59"/>
  <c r="V118" i="59"/>
  <c r="Q118" i="59"/>
  <c r="H117" i="59"/>
  <c r="H116" i="59"/>
  <c r="H115" i="59"/>
  <c r="F109" i="59"/>
  <c r="AD103" i="59"/>
  <c r="AD97" i="59"/>
  <c r="AD92" i="59"/>
  <c r="AD84" i="59"/>
  <c r="F81" i="59"/>
  <c r="P72" i="59"/>
  <c r="D50" i="59"/>
  <c r="D49" i="59"/>
  <c r="D48" i="59"/>
  <c r="D47" i="59"/>
  <c r="D51" i="59" s="1"/>
  <c r="I29" i="59"/>
  <c r="I23" i="59"/>
  <c r="O19" i="59"/>
  <c r="M19" i="59" a="1"/>
  <c r="M19" i="59" s="1"/>
  <c r="F19" i="59"/>
  <c r="O14" i="59"/>
  <c r="M14" i="59" a="1"/>
  <c r="M14" i="59" s="1"/>
  <c r="F14" i="59"/>
  <c r="E14" i="59"/>
  <c r="G13" i="59"/>
  <c r="E13" i="59"/>
  <c r="F13" i="54"/>
  <c r="E7" i="54"/>
  <c r="F2" i="54"/>
  <c r="P10" i="53" a="1"/>
  <c r="P10" i="53" s="1"/>
  <c r="M10" i="53"/>
  <c r="F10" i="53"/>
  <c r="K8" i="53"/>
  <c r="L10" i="53" s="1"/>
  <c r="R10" i="53" s="1"/>
  <c r="R2" i="53"/>
  <c r="P2" i="53" a="1"/>
  <c r="P2" i="53" s="1"/>
  <c r="M2" i="53"/>
  <c r="P10" i="52" a="1"/>
  <c r="P10" i="52" s="1"/>
  <c r="M10" i="52"/>
  <c r="F10" i="52"/>
  <c r="K8" i="52"/>
  <c r="J8" i="52"/>
  <c r="G8" i="52"/>
  <c r="F8" i="52"/>
  <c r="L10" i="52" s="1"/>
  <c r="R10" i="52" s="1"/>
  <c r="R2" i="52"/>
  <c r="P2" i="52" a="1"/>
  <c r="P2" i="52"/>
  <c r="M2" i="52"/>
  <c r="P9" i="51"/>
  <c r="N9" i="51" a="1"/>
  <c r="N9" i="51" s="1"/>
  <c r="J9" i="51"/>
  <c r="E5" i="51"/>
  <c r="P2" i="51"/>
  <c r="N2" i="51" a="1"/>
  <c r="N2" i="51" s="1"/>
  <c r="G24" i="50"/>
  <c r="G12" i="50"/>
  <c r="F12" i="50"/>
  <c r="F2" i="53" s="1"/>
  <c r="E12" i="50"/>
  <c r="D6" i="50"/>
  <c r="BA115" i="49"/>
  <c r="BA114" i="49"/>
  <c r="BA113" i="49"/>
  <c r="BA102" i="49"/>
  <c r="BA100" i="49"/>
  <c r="BA99" i="49"/>
  <c r="I53" i="49"/>
  <c r="H53" i="49"/>
  <c r="G53" i="49"/>
  <c r="I52" i="49"/>
  <c r="H52" i="49"/>
  <c r="G52" i="49"/>
  <c r="I51" i="49"/>
  <c r="H51" i="49"/>
  <c r="G51" i="49"/>
  <c r="I50" i="49"/>
  <c r="H50" i="49"/>
  <c r="G50" i="49"/>
  <c r="I49" i="49"/>
  <c r="H49" i="49"/>
  <c r="G49" i="49"/>
  <c r="I48" i="49"/>
  <c r="I45" i="49" s="1"/>
  <c r="H48" i="49"/>
  <c r="G48" i="49"/>
  <c r="E32" i="49" s="1"/>
  <c r="I47" i="49"/>
  <c r="H47" i="49"/>
  <c r="G47" i="49"/>
  <c r="I46" i="49"/>
  <c r="K45" i="49"/>
  <c r="J45" i="49"/>
  <c r="G36" i="49"/>
  <c r="E31" i="60" s="1"/>
  <c r="F36" i="49"/>
  <c r="E29" i="49"/>
  <c r="L5" i="49"/>
  <c r="L4" i="49"/>
  <c r="L3" i="49"/>
  <c r="L6" i="49" s="1"/>
  <c r="K14" i="48"/>
  <c r="I14" i="48"/>
  <c r="G14" i="48"/>
  <c r="G11" i="48"/>
  <c r="G10" i="48"/>
  <c r="G9" i="48"/>
  <c r="D6" i="48"/>
  <c r="E13" i="47"/>
  <c r="H12" i="47"/>
  <c r="E12" i="47"/>
  <c r="E11" i="47"/>
  <c r="E10" i="47"/>
  <c r="D6" i="47"/>
  <c r="D5" i="47"/>
  <c r="F269" i="46"/>
  <c r="F208" i="46"/>
  <c r="F147" i="46"/>
  <c r="F84" i="46"/>
  <c r="G17" i="46"/>
  <c r="F17" i="46"/>
  <c r="G16" i="46"/>
  <c r="F16" i="46"/>
  <c r="N7" i="46"/>
  <c r="N4" i="46"/>
  <c r="N1" i="46"/>
  <c r="E42" i="45"/>
  <c r="E32" i="45"/>
  <c r="E31" i="45"/>
  <c r="E24" i="45"/>
  <c r="D15" i="45"/>
  <c r="D14" i="45"/>
  <c r="E16" i="44"/>
  <c r="G14" i="44"/>
  <c r="E13" i="44"/>
  <c r="E12" i="44"/>
  <c r="D6" i="44"/>
  <c r="D5" i="44"/>
  <c r="J21" i="43"/>
  <c r="F21" i="43"/>
  <c r="J19" i="43"/>
  <c r="I19" i="43"/>
  <c r="H19" i="43"/>
  <c r="G19" i="43"/>
  <c r="F19" i="43"/>
  <c r="E19" i="43"/>
  <c r="J18" i="43"/>
  <c r="E18" i="43"/>
  <c r="J17" i="43"/>
  <c r="E17" i="43"/>
  <c r="J16" i="43"/>
  <c r="E16" i="43"/>
  <c r="J15" i="43"/>
  <c r="E15" i="43"/>
  <c r="I14" i="43"/>
  <c r="H14" i="43"/>
  <c r="G14" i="43"/>
  <c r="G11" i="43"/>
  <c r="G10" i="43"/>
  <c r="G9" i="43"/>
  <c r="D6" i="43"/>
  <c r="D5" i="43"/>
  <c r="F2" i="43"/>
  <c r="F21" i="42"/>
  <c r="F6" i="42"/>
  <c r="P58" i="41"/>
  <c r="L58" i="41"/>
  <c r="K57" i="41"/>
  <c r="H57" i="41"/>
  <c r="K56" i="41"/>
  <c r="H56" i="41"/>
  <c r="K55" i="41"/>
  <c r="H55" i="41"/>
  <c r="P54" i="41"/>
  <c r="O54" i="41"/>
  <c r="N54" i="41"/>
  <c r="M54" i="41"/>
  <c r="L54" i="41"/>
  <c r="I54" i="41"/>
  <c r="H54" i="41" s="1"/>
  <c r="K53" i="41"/>
  <c r="H53" i="41"/>
  <c r="K52" i="41"/>
  <c r="H52" i="41"/>
  <c r="K51" i="41"/>
  <c r="H51" i="41"/>
  <c r="K50" i="41"/>
  <c r="H50" i="41"/>
  <c r="P49" i="41"/>
  <c r="O49" i="41"/>
  <c r="N49" i="41"/>
  <c r="N48" i="41" s="1"/>
  <c r="M49" i="41"/>
  <c r="L49" i="41"/>
  <c r="I49" i="41"/>
  <c r="I48" i="41" s="1"/>
  <c r="H48" i="41" s="1"/>
  <c r="H49" i="41"/>
  <c r="P48" i="41"/>
  <c r="O48" i="41"/>
  <c r="M48" i="41"/>
  <c r="L48" i="41"/>
  <c r="K47" i="41"/>
  <c r="H47" i="41"/>
  <c r="K46" i="41"/>
  <c r="H46" i="41"/>
  <c r="K45" i="41"/>
  <c r="H45" i="41"/>
  <c r="P44" i="41"/>
  <c r="O44" i="41"/>
  <c r="N44" i="41"/>
  <c r="M44" i="41"/>
  <c r="L44" i="41"/>
  <c r="K44" i="41"/>
  <c r="I44" i="41"/>
  <c r="H44" i="41"/>
  <c r="K43" i="41"/>
  <c r="H43" i="41"/>
  <c r="K42" i="41"/>
  <c r="H42" i="41"/>
  <c r="K41" i="41"/>
  <c r="H41" i="41"/>
  <c r="K40" i="41"/>
  <c r="H40" i="41"/>
  <c r="P39" i="41"/>
  <c r="O39" i="41"/>
  <c r="N39" i="41"/>
  <c r="M39" i="41"/>
  <c r="L39" i="41"/>
  <c r="K39" i="41"/>
  <c r="I39" i="41"/>
  <c r="H39" i="41"/>
  <c r="P38" i="41"/>
  <c r="O38" i="41"/>
  <c r="O58" i="41" s="1"/>
  <c r="N38" i="41"/>
  <c r="M38" i="41"/>
  <c r="L38" i="41"/>
  <c r="K38" i="41"/>
  <c r="I38" i="41"/>
  <c r="H38" i="41"/>
  <c r="O36" i="41"/>
  <c r="L36" i="41"/>
  <c r="K35" i="41"/>
  <c r="H35" i="41"/>
  <c r="K34" i="41"/>
  <c r="H34" i="41"/>
  <c r="K33" i="41"/>
  <c r="H33" i="41"/>
  <c r="P32" i="41"/>
  <c r="O32" i="41"/>
  <c r="N32" i="41"/>
  <c r="M32" i="41"/>
  <c r="K32" i="41" s="1"/>
  <c r="L32" i="41"/>
  <c r="I32" i="41"/>
  <c r="H32" i="41" s="1"/>
  <c r="K31" i="41"/>
  <c r="H31" i="41"/>
  <c r="K30" i="41"/>
  <c r="H30" i="41"/>
  <c r="K29" i="41"/>
  <c r="H29" i="41"/>
  <c r="P28" i="41"/>
  <c r="O28" i="41"/>
  <c r="N28" i="41"/>
  <c r="M28" i="41"/>
  <c r="L28" i="41"/>
  <c r="K28" i="41" s="1"/>
  <c r="I28" i="41"/>
  <c r="H28" i="41"/>
  <c r="K27" i="41"/>
  <c r="H27" i="41"/>
  <c r="K26" i="41"/>
  <c r="H26" i="41"/>
  <c r="K25" i="41"/>
  <c r="H25" i="41"/>
  <c r="K24" i="41"/>
  <c r="H24" i="41"/>
  <c r="K23" i="41"/>
  <c r="H23" i="41"/>
  <c r="K22" i="41"/>
  <c r="H22" i="41"/>
  <c r="K21" i="41"/>
  <c r="H21" i="41"/>
  <c r="K20" i="41"/>
  <c r="H20" i="41"/>
  <c r="K19" i="41"/>
  <c r="H19" i="41"/>
  <c r="K18" i="41"/>
  <c r="H18" i="41"/>
  <c r="K17" i="41"/>
  <c r="H17" i="41"/>
  <c r="K16" i="41"/>
  <c r="H16" i="41"/>
  <c r="P15" i="41"/>
  <c r="P36" i="41" s="1"/>
  <c r="O15" i="41"/>
  <c r="N15" i="41"/>
  <c r="N36" i="41" s="1"/>
  <c r="M15" i="41"/>
  <c r="M36" i="41" s="1"/>
  <c r="L15" i="41"/>
  <c r="K15" i="41" s="1"/>
  <c r="I15" i="41"/>
  <c r="I36" i="41" s="1"/>
  <c r="H36" i="41" s="1"/>
  <c r="H15" i="41"/>
  <c r="K11" i="41"/>
  <c r="H11" i="41"/>
  <c r="F6" i="41"/>
  <c r="F5" i="41"/>
  <c r="AD222" i="40"/>
  <c r="AD217" i="40"/>
  <c r="AD212" i="40"/>
  <c r="AD207" i="40"/>
  <c r="AD202" i="40"/>
  <c r="AD197" i="40"/>
  <c r="AD196" i="40"/>
  <c r="AD190" i="40"/>
  <c r="AD185" i="40"/>
  <c r="AD184" i="40"/>
  <c r="AD179" i="40"/>
  <c r="AD174" i="40"/>
  <c r="AD169" i="40"/>
  <c r="AD164" i="40"/>
  <c r="AD159" i="40"/>
  <c r="AD158" i="40"/>
  <c r="AD152" i="40"/>
  <c r="AD147" i="40"/>
  <c r="AD142" i="40"/>
  <c r="AD137" i="40"/>
  <c r="AD132" i="40"/>
  <c r="AD131" i="40"/>
  <c r="AD126" i="40"/>
  <c r="AD125" i="40"/>
  <c r="AD120" i="40"/>
  <c r="AD115" i="40"/>
  <c r="AD110" i="40"/>
  <c r="AD105" i="40"/>
  <c r="AD100" i="40"/>
  <c r="AD95" i="40"/>
  <c r="AD90" i="40"/>
  <c r="AD89" i="40"/>
  <c r="AD83" i="40"/>
  <c r="AD78" i="40"/>
  <c r="AD73" i="40"/>
  <c r="AD68" i="40"/>
  <c r="AD63" i="40"/>
  <c r="AD58" i="40"/>
  <c r="AD52" i="40"/>
  <c r="AD47" i="40"/>
  <c r="AD42" i="40"/>
  <c r="AD37" i="40"/>
  <c r="AD32" i="40"/>
  <c r="AD27" i="40"/>
  <c r="AD22" i="40"/>
  <c r="AD17" i="40"/>
  <c r="F14" i="40"/>
  <c r="F6" i="40"/>
  <c r="F5" i="40"/>
  <c r="H17" i="39"/>
  <c r="P13" i="39"/>
  <c r="F6" i="39"/>
  <c r="F5" i="39"/>
  <c r="G28" i="38"/>
  <c r="G27" i="38"/>
  <c r="G26" i="38"/>
  <c r="D23" i="38"/>
  <c r="D22" i="38"/>
  <c r="D14" i="38"/>
  <c r="D13" i="38"/>
  <c r="D11" i="38"/>
  <c r="D10" i="38"/>
  <c r="D9" i="38"/>
  <c r="D7" i="38"/>
  <c r="D6" i="38"/>
  <c r="D4" i="38"/>
  <c r="D3" i="38"/>
  <c r="L12" i="37"/>
  <c r="K12" i="37"/>
  <c r="J12" i="37"/>
  <c r="I12" i="37"/>
  <c r="H12" i="37"/>
  <c r="G12" i="37"/>
  <c r="G9" i="37"/>
  <c r="G8" i="37"/>
  <c r="G7" i="37"/>
  <c r="D4" i="37"/>
  <c r="D3" i="37"/>
  <c r="E28" i="36"/>
  <c r="I27" i="36"/>
  <c r="H27" i="36"/>
  <c r="H16" i="36" s="1"/>
  <c r="I16" i="36"/>
  <c r="H12" i="36"/>
  <c r="H11" i="36"/>
  <c r="H10" i="36"/>
  <c r="E7" i="36"/>
  <c r="E33" i="35"/>
  <c r="I32" i="35"/>
  <c r="H32" i="35"/>
  <c r="H16" i="35" s="1"/>
  <c r="I16" i="35"/>
  <c r="H12" i="35"/>
  <c r="H11" i="35"/>
  <c r="H10" i="35"/>
  <c r="E7" i="35"/>
  <c r="V26" i="34"/>
  <c r="Q26" i="34"/>
  <c r="V20" i="34"/>
  <c r="Q20" i="34"/>
  <c r="V17" i="34"/>
  <c r="Q17" i="34"/>
  <c r="E6" i="34"/>
  <c r="E5" i="34"/>
  <c r="K130" i="33"/>
  <c r="F130" i="33"/>
  <c r="E130" i="33"/>
  <c r="K129" i="33"/>
  <c r="F129" i="33"/>
  <c r="E129" i="33"/>
  <c r="K128" i="33"/>
  <c r="F128" i="33"/>
  <c r="E128" i="33"/>
  <c r="K127" i="33"/>
  <c r="F127" i="33"/>
  <c r="E127" i="33"/>
  <c r="K126" i="33"/>
  <c r="F126" i="33"/>
  <c r="E126" i="33"/>
  <c r="K123" i="33"/>
  <c r="F123" i="33"/>
  <c r="E123" i="33"/>
  <c r="E124" i="33" s="1"/>
  <c r="K120" i="33"/>
  <c r="F120" i="33"/>
  <c r="E120" i="33"/>
  <c r="E121" i="33" s="1"/>
  <c r="E118" i="33"/>
  <c r="K117" i="33"/>
  <c r="F117" i="33"/>
  <c r="E117" i="33"/>
  <c r="K116" i="33"/>
  <c r="F116" i="33"/>
  <c r="E116" i="33"/>
  <c r="K115" i="33"/>
  <c r="F115" i="33"/>
  <c r="E115" i="33"/>
  <c r="K114" i="33"/>
  <c r="F114" i="33"/>
  <c r="E114" i="33"/>
  <c r="K113" i="33"/>
  <c r="F113" i="33"/>
  <c r="E113" i="33"/>
  <c r="K112" i="33"/>
  <c r="F112" i="33"/>
  <c r="E112" i="33"/>
  <c r="K111" i="33"/>
  <c r="F111" i="33"/>
  <c r="E111" i="33"/>
  <c r="K110" i="33"/>
  <c r="F110" i="33"/>
  <c r="E110" i="33"/>
  <c r="K109" i="33"/>
  <c r="F109" i="33"/>
  <c r="E109" i="33"/>
  <c r="K108" i="33"/>
  <c r="F108" i="33"/>
  <c r="E108" i="33"/>
  <c r="K107" i="33"/>
  <c r="F107" i="33"/>
  <c r="E107" i="33"/>
  <c r="K106" i="33"/>
  <c r="F106" i="33"/>
  <c r="E106" i="33"/>
  <c r="K105" i="33"/>
  <c r="F105" i="33"/>
  <c r="E105" i="33"/>
  <c r="K104" i="33"/>
  <c r="F104" i="33"/>
  <c r="E104" i="33"/>
  <c r="K103" i="33"/>
  <c r="F103" i="33"/>
  <c r="E103" i="33"/>
  <c r="K102" i="33"/>
  <c r="F102" i="33"/>
  <c r="E102" i="33"/>
  <c r="K99" i="33"/>
  <c r="F99" i="33"/>
  <c r="E99" i="33"/>
  <c r="E100" i="33" s="1"/>
  <c r="K98" i="33"/>
  <c r="F98" i="33"/>
  <c r="E98" i="33"/>
  <c r="K97" i="33"/>
  <c r="F97" i="33"/>
  <c r="E97" i="33"/>
  <c r="K96" i="33"/>
  <c r="F96" i="33"/>
  <c r="E96" i="33"/>
  <c r="K95" i="33"/>
  <c r="F95" i="33"/>
  <c r="E95" i="33"/>
  <c r="K94" i="33"/>
  <c r="F94" i="33"/>
  <c r="E94" i="33"/>
  <c r="K93" i="33"/>
  <c r="F93" i="33"/>
  <c r="E93" i="33"/>
  <c r="K92" i="33"/>
  <c r="F92" i="33"/>
  <c r="E92" i="33"/>
  <c r="K91" i="33"/>
  <c r="F91" i="33"/>
  <c r="E91" i="33"/>
  <c r="K90" i="33"/>
  <c r="F90" i="33"/>
  <c r="E90" i="33"/>
  <c r="K89" i="33"/>
  <c r="F89" i="33"/>
  <c r="E89" i="33"/>
  <c r="K88" i="33"/>
  <c r="F88" i="33"/>
  <c r="E88" i="33"/>
  <c r="K87" i="33"/>
  <c r="J87" i="33"/>
  <c r="I87" i="33"/>
  <c r="H87" i="33"/>
  <c r="F87" i="33"/>
  <c r="E87" i="33"/>
  <c r="K86" i="33"/>
  <c r="F86" i="33"/>
  <c r="E86" i="33"/>
  <c r="K85" i="33"/>
  <c r="F85" i="33"/>
  <c r="E85" i="33"/>
  <c r="K84" i="33"/>
  <c r="F84" i="33"/>
  <c r="E84" i="33"/>
  <c r="K83" i="33"/>
  <c r="F83" i="33"/>
  <c r="E83" i="33"/>
  <c r="K82" i="33"/>
  <c r="F82" i="33"/>
  <c r="E82" i="33"/>
  <c r="K81" i="33"/>
  <c r="F81" i="33"/>
  <c r="E81" i="33"/>
  <c r="K80" i="33"/>
  <c r="F80" i="33"/>
  <c r="E80" i="33"/>
  <c r="K79" i="33"/>
  <c r="F79" i="33"/>
  <c r="E79" i="33"/>
  <c r="K78" i="33"/>
  <c r="F78" i="33"/>
  <c r="E78" i="33"/>
  <c r="K77" i="33"/>
  <c r="F77" i="33"/>
  <c r="E77" i="33"/>
  <c r="K76" i="33"/>
  <c r="F76" i="33"/>
  <c r="E76" i="33"/>
  <c r="K75" i="33"/>
  <c r="F75" i="33"/>
  <c r="E75" i="33"/>
  <c r="K74" i="33"/>
  <c r="F74" i="33"/>
  <c r="E74" i="33"/>
  <c r="K73" i="33"/>
  <c r="F73" i="33"/>
  <c r="E73" i="33"/>
  <c r="K72" i="33"/>
  <c r="F72" i="33"/>
  <c r="E72" i="33"/>
  <c r="E70" i="33"/>
  <c r="L70" i="33" s="1"/>
  <c r="L69" i="33"/>
  <c r="K69" i="33"/>
  <c r="J69" i="33"/>
  <c r="I69" i="33"/>
  <c r="H69" i="33"/>
  <c r="F69" i="33"/>
  <c r="E69" i="33"/>
  <c r="M68" i="33"/>
  <c r="L68" i="33"/>
  <c r="K68" i="33"/>
  <c r="F68" i="33"/>
  <c r="E68" i="33"/>
  <c r="L67" i="33"/>
  <c r="K67" i="33"/>
  <c r="F67" i="33"/>
  <c r="E67" i="33"/>
  <c r="M66" i="33"/>
  <c r="K66" i="33"/>
  <c r="F66" i="33"/>
  <c r="E66" i="33"/>
  <c r="L66" i="33" s="1"/>
  <c r="K65" i="33"/>
  <c r="F65" i="33"/>
  <c r="E65" i="33"/>
  <c r="L65" i="33" s="1"/>
  <c r="K64" i="33"/>
  <c r="F64" i="33"/>
  <c r="E64" i="33"/>
  <c r="L64" i="33" s="1"/>
  <c r="K63" i="33"/>
  <c r="F63" i="33"/>
  <c r="E63" i="33"/>
  <c r="L63" i="33" s="1"/>
  <c r="K62" i="33"/>
  <c r="F62" i="33"/>
  <c r="E62" i="33"/>
  <c r="L62" i="33" s="1"/>
  <c r="K61" i="33"/>
  <c r="F61" i="33"/>
  <c r="E61" i="33"/>
  <c r="L61" i="33" s="1"/>
  <c r="K60" i="33"/>
  <c r="F60" i="33"/>
  <c r="E60" i="33"/>
  <c r="L60" i="33" s="1"/>
  <c r="K59" i="33"/>
  <c r="F59" i="33"/>
  <c r="E59" i="33"/>
  <c r="L59" i="33" s="1"/>
  <c r="K58" i="33"/>
  <c r="F58" i="33"/>
  <c r="E58" i="33"/>
  <c r="L58" i="33" s="1"/>
  <c r="K57" i="33"/>
  <c r="F57" i="33"/>
  <c r="E57" i="33"/>
  <c r="L57" i="33" s="1"/>
  <c r="K56" i="33"/>
  <c r="F56" i="33"/>
  <c r="E56" i="33"/>
  <c r="L56" i="33" s="1"/>
  <c r="K55" i="33"/>
  <c r="F55" i="33"/>
  <c r="E55" i="33"/>
  <c r="L55" i="33" s="1"/>
  <c r="K54" i="33"/>
  <c r="F54" i="33"/>
  <c r="E54" i="33"/>
  <c r="L54" i="33" s="1"/>
  <c r="K53" i="33"/>
  <c r="F53" i="33"/>
  <c r="E53" i="33"/>
  <c r="L53" i="33" s="1"/>
  <c r="K52" i="33"/>
  <c r="F52" i="33"/>
  <c r="E52" i="33"/>
  <c r="L52" i="33" s="1"/>
  <c r="K51" i="33"/>
  <c r="F51" i="33"/>
  <c r="E51" i="33"/>
  <c r="L51" i="33" s="1"/>
  <c r="K50" i="33"/>
  <c r="F50" i="33"/>
  <c r="E50" i="33"/>
  <c r="L50" i="33" s="1"/>
  <c r="K49" i="33"/>
  <c r="F49" i="33"/>
  <c r="E49" i="33"/>
  <c r="L49" i="33" s="1"/>
  <c r="K48" i="33"/>
  <c r="F48" i="33"/>
  <c r="E48" i="33"/>
  <c r="L48" i="33" s="1"/>
  <c r="K47" i="33"/>
  <c r="F47" i="33"/>
  <c r="E47" i="33"/>
  <c r="L47" i="33" s="1"/>
  <c r="K46" i="33"/>
  <c r="F46" i="33"/>
  <c r="E46" i="33"/>
  <c r="L46" i="33" s="1"/>
  <c r="K45" i="33"/>
  <c r="F45" i="33"/>
  <c r="E45" i="33"/>
  <c r="L45" i="33" s="1"/>
  <c r="K44" i="33"/>
  <c r="F44" i="33"/>
  <c r="E44" i="33"/>
  <c r="L44" i="33" s="1"/>
  <c r="K43" i="33"/>
  <c r="F43" i="33"/>
  <c r="E43" i="33"/>
  <c r="L43" i="33" s="1"/>
  <c r="F42" i="33"/>
  <c r="E42" i="33"/>
  <c r="L42" i="33" s="1"/>
  <c r="H31" i="33" s="1"/>
  <c r="H136" i="33" s="1"/>
  <c r="K41" i="33"/>
  <c r="F41" i="33"/>
  <c r="E41" i="33"/>
  <c r="L41" i="33" s="1"/>
  <c r="L40" i="33"/>
  <c r="L39" i="33"/>
  <c r="L38" i="33"/>
  <c r="L37" i="33"/>
  <c r="L36" i="33"/>
  <c r="L35" i="33"/>
  <c r="L34" i="33"/>
  <c r="B34" i="33"/>
  <c r="K33" i="33"/>
  <c r="J33" i="33"/>
  <c r="I33" i="33"/>
  <c r="H33" i="33"/>
  <c r="F33" i="33"/>
  <c r="E33" i="33"/>
  <c r="L33" i="33" s="1"/>
  <c r="L32" i="33"/>
  <c r="K32" i="33"/>
  <c r="F32" i="33"/>
  <c r="E32" i="33"/>
  <c r="K31" i="33"/>
  <c r="F31" i="33"/>
  <c r="E31" i="33"/>
  <c r="F30" i="33"/>
  <c r="E30" i="33"/>
  <c r="H27" i="33"/>
  <c r="H26" i="33"/>
  <c r="H25" i="33"/>
  <c r="E22" i="33"/>
  <c r="E21"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W45" i="32"/>
  <c r="X45" i="32" s="1"/>
  <c r="Y45" i="32" s="1"/>
  <c r="Z45" i="32" s="1"/>
  <c r="AA45" i="32" s="1"/>
  <c r="AC45" i="32" s="1"/>
  <c r="AD45" i="32" s="1"/>
  <c r="V45" i="32"/>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S45" i="31"/>
  <c r="AV44" i="31"/>
  <c r="AV43" i="31"/>
  <c r="AV42" i="31"/>
  <c r="AS42" i="31"/>
  <c r="AN41" i="31"/>
  <c r="AO41" i="31" s="1"/>
  <c r="AQ41" i="31" s="1"/>
  <c r="AR41" i="31" s="1"/>
  <c r="AS41" i="31" s="1"/>
  <c r="AM41" i="31"/>
  <c r="AF41" i="31"/>
  <c r="AG41" i="31" s="1"/>
  <c r="AD41" i="31"/>
  <c r="AC41" i="3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S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Q41" i="30"/>
  <c r="AR41" i="30" s="1"/>
  <c r="AS41" i="30" s="1"/>
  <c r="AO41" i="30"/>
  <c r="AN41" i="30"/>
  <c r="AM41" i="30"/>
  <c r="AG41" i="30"/>
  <c r="AF41" i="30"/>
  <c r="AD41" i="30"/>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T7" i="30"/>
  <c r="AS7" i="30"/>
  <c r="AV6" i="30"/>
  <c r="J6" i="30"/>
  <c r="K7" i="30" s="1"/>
  <c r="S7" i="30" s="1"/>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C45" i="29"/>
  <c r="AX45" i="29"/>
  <c r="AY45" i="29" s="1"/>
  <c r="BA45" i="29" s="1"/>
  <c r="BB45" i="29" s="1"/>
  <c r="AW45" i="29"/>
  <c r="Y45" i="29"/>
  <c r="Z45" i="29" s="1"/>
  <c r="AA45" i="29" s="1"/>
  <c r="AC45" i="29" s="1"/>
  <c r="AD45" i="29" s="1"/>
  <c r="U45" i="29"/>
  <c r="V45" i="29" s="1"/>
  <c r="W45" i="29" s="1"/>
  <c r="X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C43" i="28"/>
  <c r="AN42" i="28"/>
  <c r="AN41" i="28"/>
  <c r="AK41" i="28"/>
  <c r="AD40" i="28"/>
  <c r="AE40" i="28" s="1"/>
  <c r="AF40" i="28" s="1"/>
  <c r="AG40" i="28" s="1"/>
  <c r="AI40" i="28" s="1"/>
  <c r="AJ40" i="28" s="1"/>
  <c r="AK40" i="28" s="1"/>
  <c r="X40" i="28"/>
  <c r="Y40" i="28" s="1"/>
  <c r="Z40" i="28" s="1"/>
  <c r="AB40" i="28" s="1"/>
  <c r="AC40" i="28" s="1"/>
  <c r="V40" i="28"/>
  <c r="W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J6" i="28"/>
  <c r="AN5" i="28"/>
  <c r="AN4" i="28"/>
  <c r="AC4" i="28"/>
  <c r="S4" i="28"/>
  <c r="I5" i="28" s="1"/>
  <c r="S5" i="28" s="1"/>
  <c r="AN3" i="28"/>
  <c r="AC3" i="28"/>
  <c r="S3" i="28"/>
  <c r="AN2" i="28"/>
  <c r="AK2" i="28"/>
  <c r="AC2" i="28"/>
  <c r="S2" i="28"/>
  <c r="AN53" i="27"/>
  <c r="AN52" i="27"/>
  <c r="AN51" i="27"/>
  <c r="AN50" i="27"/>
  <c r="AN49" i="27"/>
  <c r="AN48" i="27"/>
  <c r="AN47" i="27"/>
  <c r="AE47" i="27"/>
  <c r="X47" i="27"/>
  <c r="AN46" i="27"/>
  <c r="AL46" i="27"/>
  <c r="AK46" i="27"/>
  <c r="AN45" i="27"/>
  <c r="AN44" i="27"/>
  <c r="I44" i="27"/>
  <c r="AN43" i="27"/>
  <c r="AN42" i="27"/>
  <c r="AN41" i="27"/>
  <c r="AK41" i="27"/>
  <c r="Y40" i="27"/>
  <c r="Z40" i="27" s="1"/>
  <c r="AB40" i="27" s="1"/>
  <c r="AC40" i="27" s="1"/>
  <c r="AD40" i="27" s="1"/>
  <c r="AE40" i="27" s="1"/>
  <c r="AF40" i="27" s="1"/>
  <c r="AG40" i="27" s="1"/>
  <c r="AI40" i="27" s="1"/>
  <c r="AJ40" i="27" s="1"/>
  <c r="AK40" i="27" s="1"/>
  <c r="W40" i="27"/>
  <c r="X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S52" i="26"/>
  <c r="BF51" i="26"/>
  <c r="J51" i="26"/>
  <c r="BF50" i="26"/>
  <c r="I50" i="26"/>
  <c r="BF49" i="26"/>
  <c r="BF48" i="26"/>
  <c r="BF47" i="26"/>
  <c r="BF46" i="26"/>
  <c r="BC46" i="26"/>
  <c r="AX45" i="26"/>
  <c r="AY45" i="26" s="1"/>
  <c r="BA45" i="26" s="1"/>
  <c r="BB45" i="26" s="1"/>
  <c r="BC45" i="26" s="1"/>
  <c r="AW45" i="26"/>
  <c r="W45" i="26"/>
  <c r="X45" i="26" s="1"/>
  <c r="Y45" i="26" s="1"/>
  <c r="Z45" i="26" s="1"/>
  <c r="AA45" i="26" s="1"/>
  <c r="AC45" i="26" s="1"/>
  <c r="AD45" i="26" s="1"/>
  <c r="U45" i="26"/>
  <c r="V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G41" i="25"/>
  <c r="AI41" i="25" s="1"/>
  <c r="AJ41" i="25" s="1"/>
  <c r="AK41" i="25" s="1"/>
  <c r="AF41" i="25"/>
  <c r="AD41" i="25"/>
  <c r="AE41" i="25" s="1"/>
  <c r="W41" i="25"/>
  <c r="X41" i="25" s="1"/>
  <c r="Y41" i="25" s="1"/>
  <c r="AA41" i="25" s="1"/>
  <c r="V41" i="25"/>
  <c r="U41" i="25"/>
  <c r="V33" i="25"/>
  <c r="V32" i="25"/>
  <c r="V30" i="25"/>
  <c r="V29" i="25"/>
  <c r="V28" i="25"/>
  <c r="V27" i="25"/>
  <c r="S25" i="25"/>
  <c r="S24" i="25"/>
  <c r="AN14" i="25"/>
  <c r="AN13" i="25"/>
  <c r="AN12" i="25"/>
  <c r="AN11" i="25"/>
  <c r="AN10" i="25"/>
  <c r="AN9" i="25"/>
  <c r="AN8" i="25"/>
  <c r="AL8" i="25"/>
  <c r="K8" i="25"/>
  <c r="S8" i="25" s="1"/>
  <c r="AN7" i="25"/>
  <c r="AN6" i="25"/>
  <c r="I6" i="25"/>
  <c r="AN5" i="25"/>
  <c r="S5" i="25"/>
  <c r="J7" i="25" s="1"/>
  <c r="AN4" i="25"/>
  <c r="S4" i="25"/>
  <c r="AN3" i="25"/>
  <c r="S3" i="25"/>
  <c r="AN2" i="25"/>
  <c r="S2" i="25"/>
  <c r="AN53" i="24"/>
  <c r="AN52" i="24"/>
  <c r="AN51" i="24"/>
  <c r="AN50" i="24"/>
  <c r="AN49" i="24"/>
  <c r="AN48" i="24"/>
  <c r="AN47" i="24"/>
  <c r="AE47" i="24"/>
  <c r="X47" i="24"/>
  <c r="AN46" i="24"/>
  <c r="AL46" i="24"/>
  <c r="AK46" i="24"/>
  <c r="AN45" i="24"/>
  <c r="J45" i="24"/>
  <c r="AN44" i="24"/>
  <c r="AN43" i="24"/>
  <c r="AN42" i="24"/>
  <c r="AN41" i="24"/>
  <c r="AK41" i="24"/>
  <c r="S41" i="24"/>
  <c r="Y40" i="24"/>
  <c r="Z40" i="24" s="1"/>
  <c r="AB40" i="24" s="1"/>
  <c r="AC40" i="24" s="1"/>
  <c r="AD40" i="24" s="1"/>
  <c r="AE40" i="24" s="1"/>
  <c r="AF40" i="24" s="1"/>
  <c r="AG40" i="24" s="1"/>
  <c r="AI40" i="24" s="1"/>
  <c r="AJ40" i="24" s="1"/>
  <c r="AK40" i="24" s="1"/>
  <c r="X40" i="24"/>
  <c r="V40" i="24"/>
  <c r="W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J6" i="24"/>
  <c r="AN5" i="24"/>
  <c r="AN4" i="24"/>
  <c r="AC4" i="24"/>
  <c r="S4" i="24"/>
  <c r="I5" i="24" s="1"/>
  <c r="S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AD40" i="23"/>
  <c r="AE40" i="23" s="1"/>
  <c r="AF40" i="23" s="1"/>
  <c r="AG40" i="23" s="1"/>
  <c r="AI40" i="23" s="1"/>
  <c r="AJ40" i="23" s="1"/>
  <c r="AK40" i="23" s="1"/>
  <c r="W40" i="23"/>
  <c r="X40" i="23" s="1"/>
  <c r="Y40" i="23" s="1"/>
  <c r="Z40" i="23" s="1"/>
  <c r="AB40" i="23" s="1"/>
  <c r="AC40" i="23" s="1"/>
  <c r="V40" i="23"/>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C43" i="22"/>
  <c r="AN42" i="22"/>
  <c r="AN41" i="22"/>
  <c r="AK41" i="22"/>
  <c r="AF40" i="22"/>
  <c r="AG40" i="22" s="1"/>
  <c r="AI40" i="22" s="1"/>
  <c r="AJ40" i="22" s="1"/>
  <c r="AK40" i="22" s="1"/>
  <c r="X40" i="22"/>
  <c r="Y40" i="22" s="1"/>
  <c r="Z40" i="22" s="1"/>
  <c r="AB40" i="22" s="1"/>
  <c r="AC40" i="22" s="1"/>
  <c r="AD40" i="22" s="1"/>
  <c r="AE40" i="22" s="1"/>
  <c r="W40" i="22"/>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L46" i="21"/>
  <c r="AK46" i="21"/>
  <c r="AN45" i="21"/>
  <c r="AN44" i="21"/>
  <c r="AN43" i="21"/>
  <c r="S43" i="21"/>
  <c r="I44" i="21" s="1"/>
  <c r="AN42" i="21"/>
  <c r="AN41" i="21"/>
  <c r="AK41" i="21"/>
  <c r="X40" i="21"/>
  <c r="Y40" i="21" s="1"/>
  <c r="Z40" i="21" s="1"/>
  <c r="AB40" i="21" s="1"/>
  <c r="AC40" i="21" s="1"/>
  <c r="AD40" i="21" s="1"/>
  <c r="AE40" i="21" s="1"/>
  <c r="AF40" i="21" s="1"/>
  <c r="AG40" i="21" s="1"/>
  <c r="AI40" i="21" s="1"/>
  <c r="AJ40" i="21" s="1"/>
  <c r="AK40" i="21" s="1"/>
  <c r="U40" i="21"/>
  <c r="V40" i="21" s="1"/>
  <c r="W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P44" i="20"/>
  <c r="AQ44" i="20" s="1"/>
  <c r="AS44" i="20" s="1"/>
  <c r="AT44" i="20" s="1"/>
  <c r="AU44" i="20" s="1"/>
  <c r="AO44" i="20"/>
  <c r="AN44" i="20"/>
  <c r="Y44" i="20"/>
  <c r="AA44" i="20" s="1"/>
  <c r="AB44" i="20" s="1"/>
  <c r="U44" i="20"/>
  <c r="V44" i="20" s="1"/>
  <c r="W44" i="20" s="1"/>
  <c r="X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I6"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U49" i="19"/>
  <c r="AM48" i="19"/>
  <c r="AO48" i="19" s="1"/>
  <c r="AP48" i="19" s="1"/>
  <c r="AQ48" i="19" s="1"/>
  <c r="AK48" i="19"/>
  <c r="AL48" i="19" s="1"/>
  <c r="AJ48" i="19"/>
  <c r="AD48" i="19"/>
  <c r="AF48" i="19" s="1"/>
  <c r="AG48" i="19" s="1"/>
  <c r="AC48" i="19"/>
  <c r="AB48" i="19"/>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U8" i="19"/>
  <c r="AT7" i="19"/>
  <c r="U7" i="19"/>
  <c r="J7" i="19"/>
  <c r="K8" i="19" s="1"/>
  <c r="L9" i="19" s="1"/>
  <c r="U9"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M42" i="18"/>
  <c r="AH42" i="18"/>
  <c r="AI42" i="18" s="1"/>
  <c r="AK42" i="18" s="1"/>
  <c r="AL42" i="18" s="1"/>
  <c r="AG42" i="18"/>
  <c r="AF42" i="18"/>
  <c r="AA42" i="18"/>
  <c r="AC42" i="18" s="1"/>
  <c r="AD42" i="18" s="1"/>
  <c r="Y42" i="18"/>
  <c r="Z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K8" i="18" s="1"/>
  <c r="S8"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S45" i="17"/>
  <c r="AP44" i="17"/>
  <c r="AP43" i="17"/>
  <c r="AM43" i="17"/>
  <c r="AI42" i="17"/>
  <c r="AK42" i="17" s="1"/>
  <c r="AL42" i="17" s="1"/>
  <c r="AM42" i="17" s="1"/>
  <c r="AH42" i="17"/>
  <c r="AG42" i="17"/>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S8" i="17"/>
  <c r="AP7" i="17"/>
  <c r="S7" i="17"/>
  <c r="J7" i="17"/>
  <c r="K8"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D45" i="16"/>
  <c r="AP44" i="16"/>
  <c r="AP43" i="16"/>
  <c r="AM43" i="16"/>
  <c r="AH42" i="16"/>
  <c r="AI42" i="16" s="1"/>
  <c r="AK42" i="16" s="1"/>
  <c r="AL42" i="16" s="1"/>
  <c r="AM42" i="16" s="1"/>
  <c r="AG42" i="16"/>
  <c r="AF42" i="16"/>
  <c r="AA42" i="16"/>
  <c r="AC42" i="16" s="1"/>
  <c r="AD42" i="16" s="1"/>
  <c r="Y42" i="16"/>
  <c r="Z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S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S45" i="15"/>
  <c r="AP44" i="15"/>
  <c r="AP43" i="15"/>
  <c r="AM43" i="15"/>
  <c r="AH42" i="15"/>
  <c r="AI42" i="15" s="1"/>
  <c r="AK42" i="15" s="1"/>
  <c r="AL42" i="15" s="1"/>
  <c r="AM42" i="15" s="1"/>
  <c r="AF42" i="15"/>
  <c r="AG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K8" i="15"/>
  <c r="S8" i="15" s="1"/>
  <c r="AP7" i="15"/>
  <c r="S7" i="15"/>
  <c r="AP6" i="15"/>
  <c r="S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S45" i="14"/>
  <c r="AP44" i="14"/>
  <c r="AP43" i="14"/>
  <c r="AM43" i="14"/>
  <c r="AG42" i="14"/>
  <c r="AH42" i="14" s="1"/>
  <c r="AI42" i="14" s="1"/>
  <c r="AK42" i="14" s="1"/>
  <c r="AL42" i="14" s="1"/>
  <c r="AM42" i="14" s="1"/>
  <c r="AF42" i="14"/>
  <c r="AC42" i="14"/>
  <c r="AD42" i="14" s="1"/>
  <c r="Z42" i="14"/>
  <c r="AA42" i="14" s="1"/>
  <c r="X42" i="14"/>
  <c r="Y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J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S45" i="13"/>
  <c r="AP44" i="13"/>
  <c r="AP43" i="13"/>
  <c r="AM43" i="13"/>
  <c r="AD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J7" i="12"/>
  <c r="AP6" i="12"/>
  <c r="AP5" i="12"/>
  <c r="AD5" i="12"/>
  <c r="S5" i="12"/>
  <c r="I6" i="12" s="1"/>
  <c r="S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S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J7" i="11"/>
  <c r="AP6" i="11"/>
  <c r="S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S44" i="28" s="1"/>
  <c r="AO126" i="5"/>
  <c r="S42" i="28" s="1"/>
  <c r="AN126" i="5"/>
  <c r="S41" i="28" s="1"/>
  <c r="AM126" i="5"/>
  <c r="AL126" i="5"/>
  <c r="AK126" i="5"/>
  <c r="AC42" i="28" s="1"/>
  <c r="AJ126" i="5"/>
  <c r="AI126" i="5"/>
  <c r="AH126" i="5"/>
  <c r="AQ121" i="5"/>
  <c r="AP121" i="5"/>
  <c r="S43"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J46" i="31" s="1"/>
  <c r="S46" i="31" s="1"/>
  <c r="AO110" i="5"/>
  <c r="S43" i="31" s="1"/>
  <c r="AN110" i="5"/>
  <c r="S42" i="31" s="1"/>
  <c r="AM110" i="5"/>
  <c r="AL110" i="5"/>
  <c r="AG44" i="31" s="1"/>
  <c r="AK110" i="5"/>
  <c r="AG43" i="31" s="1"/>
  <c r="AJ110" i="5"/>
  <c r="AI110" i="5"/>
  <c r="AH110" i="5"/>
  <c r="AQ105" i="5"/>
  <c r="AP105" i="5"/>
  <c r="S44" i="30" s="1"/>
  <c r="I45" i="30" s="1"/>
  <c r="S45" i="30" s="1"/>
  <c r="AO105" i="5"/>
  <c r="S43" i="30" s="1"/>
  <c r="AN105" i="5"/>
  <c r="S42" i="30" s="1"/>
  <c r="AM105" i="5"/>
  <c r="AL105" i="5"/>
  <c r="AG44" i="30" s="1"/>
  <c r="AK105" i="5"/>
  <c r="AG43" i="30" s="1"/>
  <c r="AJ105" i="5"/>
  <c r="AI105" i="5"/>
  <c r="AH105" i="5"/>
  <c r="AQ99" i="5"/>
  <c r="AP99" i="5"/>
  <c r="S48" i="26" s="1"/>
  <c r="K52" i="26" s="1"/>
  <c r="AO99" i="5"/>
  <c r="S47" i="26" s="1"/>
  <c r="AN99" i="5"/>
  <c r="S46" i="26" s="1"/>
  <c r="AM99" i="5"/>
  <c r="AL99" i="5"/>
  <c r="AD48" i="26" s="1"/>
  <c r="AK99" i="5"/>
  <c r="AD47" i="26" s="1"/>
  <c r="AJ99" i="5"/>
  <c r="AI99" i="5"/>
  <c r="AH99" i="5"/>
  <c r="AQ94" i="5"/>
  <c r="AP94" i="5"/>
  <c r="S43" i="24" s="1"/>
  <c r="I44" i="24" s="1"/>
  <c r="S44" i="24" s="1"/>
  <c r="AO94" i="5"/>
  <c r="S42" i="24" s="1"/>
  <c r="AN94" i="5"/>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K84" i="5"/>
  <c r="AC42" i="22" s="1"/>
  <c r="AJ84" i="5"/>
  <c r="AI84" i="5"/>
  <c r="AH84" i="5"/>
  <c r="AQ79" i="5"/>
  <c r="AP79" i="5"/>
  <c r="AO79" i="5"/>
  <c r="S42" i="21" s="1"/>
  <c r="AN79" i="5"/>
  <c r="S41" i="21" s="1"/>
  <c r="AM79" i="5"/>
  <c r="AL79" i="5"/>
  <c r="AC43" i="21" s="1"/>
  <c r="AK79" i="5"/>
  <c r="AC42" i="21" s="1"/>
  <c r="AJ79" i="5"/>
  <c r="AI79" i="5"/>
  <c r="AH79" i="5"/>
  <c r="AQ63" i="5"/>
  <c r="S46" i="13" s="1"/>
  <c r="I47" i="13" s="1"/>
  <c r="AP63" i="5"/>
  <c r="AO63" i="5"/>
  <c r="AN63" i="5"/>
  <c r="S43" i="14" s="1"/>
  <c r="AM63" i="5"/>
  <c r="AL63" i="5"/>
  <c r="AD45" i="14" s="1"/>
  <c r="AK63" i="5"/>
  <c r="AD44" i="14" s="1"/>
  <c r="AJ63" i="5"/>
  <c r="AD43" i="14" s="1"/>
  <c r="AI63" i="5"/>
  <c r="AH63" i="5"/>
  <c r="AQ58" i="5"/>
  <c r="S45" i="25" s="1"/>
  <c r="AP58" i="5"/>
  <c r="S44" i="25" s="1"/>
  <c r="AO58" i="5"/>
  <c r="S43" i="25" s="1"/>
  <c r="AN58" i="5"/>
  <c r="S42" i="25" s="1"/>
  <c r="AM58" i="5"/>
  <c r="AL58" i="5"/>
  <c r="AK58" i="5"/>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AO38" i="5"/>
  <c r="S44" i="17" s="1"/>
  <c r="AN38" i="5"/>
  <c r="S43" i="17" s="1"/>
  <c r="AM38" i="5"/>
  <c r="AD46" i="17" s="1"/>
  <c r="AL38" i="5"/>
  <c r="AD45" i="17" s="1"/>
  <c r="AK38" i="5"/>
  <c r="AD44" i="17" s="1"/>
  <c r="AJ38" i="5"/>
  <c r="AI38" i="5"/>
  <c r="AH38" i="5"/>
  <c r="AQ33" i="5"/>
  <c r="U52" i="19" s="1"/>
  <c r="I53" i="19" s="1"/>
  <c r="J54" i="19" s="1"/>
  <c r="AP33" i="5"/>
  <c r="U51" i="19" s="1"/>
  <c r="AO33" i="5"/>
  <c r="U50" i="19" s="1"/>
  <c r="AN33" i="5"/>
  <c r="AM33" i="5"/>
  <c r="AG52" i="19" s="1"/>
  <c r="AL33" i="5"/>
  <c r="AG51" i="19" s="1"/>
  <c r="AK33" i="5"/>
  <c r="AG50" i="19" s="1"/>
  <c r="AJ33" i="5"/>
  <c r="AG49" i="19" s="1"/>
  <c r="AI33" i="5"/>
  <c r="AH33" i="5"/>
  <c r="AQ28" i="5"/>
  <c r="L22" i="62" s="1"/>
  <c r="F23" i="62" s="1"/>
  <c r="AP28" i="5"/>
  <c r="AO28" i="5"/>
  <c r="L20" i="62" s="1"/>
  <c r="AN28" i="5"/>
  <c r="AM28" i="5"/>
  <c r="AL28" i="5"/>
  <c r="O21" i="62" s="1"/>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AM13" i="5"/>
  <c r="AD46" i="11" s="1"/>
  <c r="AL13" i="5"/>
  <c r="AD45" i="11" s="1"/>
  <c r="AK13" i="5"/>
  <c r="AD44" i="11" s="1"/>
  <c r="AJ13" i="5"/>
  <c r="AI13" i="5"/>
  <c r="AH13" i="5"/>
  <c r="D6" i="5"/>
  <c r="D5" i="5"/>
  <c r="R14" i="4"/>
  <c r="P14" i="4"/>
  <c r="R13" i="4"/>
  <c r="P13" i="4"/>
  <c r="E13" i="4"/>
  <c r="E7" i="4"/>
  <c r="D5" i="4"/>
  <c r="D4" i="4"/>
  <c r="O13" i="3"/>
  <c r="M13" i="3" a="1"/>
  <c r="M13" i="3" s="1"/>
  <c r="J13" i="3"/>
  <c r="E13" i="3"/>
  <c r="G12" i="3"/>
  <c r="I13" i="4" s="1"/>
  <c r="E12" i="3"/>
  <c r="E4" i="3"/>
  <c r="E59" i="2"/>
  <c r="E49" i="2"/>
  <c r="E41" i="2"/>
  <c r="E31" i="2"/>
  <c r="E27" i="2"/>
  <c r="E26" i="2"/>
  <c r="F25" i="2"/>
  <c r="E22" i="2"/>
  <c r="E21" i="2"/>
  <c r="F20" i="2"/>
  <c r="E19" i="2"/>
  <c r="I9" i="2"/>
  <c r="E5" i="2"/>
  <c r="E3" i="2"/>
  <c r="E2" i="2"/>
  <c r="B5" i="1"/>
  <c r="Q14" i="4" l="1"/>
  <c r="Q13" i="4"/>
  <c r="J48" i="11"/>
  <c r="S47" i="11"/>
  <c r="K55" i="19"/>
  <c r="U54" i="19"/>
  <c r="J48" i="12"/>
  <c r="S47" i="12"/>
  <c r="I47" i="18"/>
  <c r="J48" i="18"/>
  <c r="L23" i="62"/>
  <c r="G24" i="62"/>
  <c r="I47" i="17"/>
  <c r="J48" i="17"/>
  <c r="S47" i="15"/>
  <c r="J48" i="15"/>
  <c r="K8" i="11"/>
  <c r="S8" i="11" s="1"/>
  <c r="S7" i="11"/>
  <c r="AD44" i="13"/>
  <c r="S44" i="16"/>
  <c r="S46" i="16"/>
  <c r="J45" i="21"/>
  <c r="S44" i="21"/>
  <c r="S6" i="28"/>
  <c r="K7" i="28"/>
  <c r="S7" i="28" s="1"/>
  <c r="K9" i="37"/>
  <c r="K11" i="48"/>
  <c r="I11" i="43"/>
  <c r="H25" i="34"/>
  <c r="K28" i="38"/>
  <c r="J27" i="33"/>
  <c r="I9" i="43"/>
  <c r="K26" i="38"/>
  <c r="K9" i="48"/>
  <c r="H23" i="34"/>
  <c r="K7" i="37"/>
  <c r="J25" i="33"/>
  <c r="O22" i="62"/>
  <c r="AD46" i="16"/>
  <c r="J47" i="25"/>
  <c r="I46" i="25"/>
  <c r="K48" i="25"/>
  <c r="S48" i="25" s="1"/>
  <c r="S44" i="14"/>
  <c r="S44" i="13"/>
  <c r="I9" i="48"/>
  <c r="I10" i="36"/>
  <c r="I10" i="35"/>
  <c r="I7" i="37"/>
  <c r="H9" i="43"/>
  <c r="I26" i="38"/>
  <c r="H14" i="34"/>
  <c r="I25" i="33"/>
  <c r="F209" i="46"/>
  <c r="F87" i="46"/>
  <c r="F270" i="46"/>
  <c r="F148" i="46"/>
  <c r="F24" i="46"/>
  <c r="G212" i="46"/>
  <c r="G90" i="46"/>
  <c r="G273" i="46"/>
  <c r="G151" i="46"/>
  <c r="G27" i="46"/>
  <c r="AD43" i="12"/>
  <c r="O19" i="62"/>
  <c r="G276" i="46"/>
  <c r="G154" i="46"/>
  <c r="G30" i="46"/>
  <c r="G215" i="46"/>
  <c r="G93" i="46"/>
  <c r="AD43" i="16"/>
  <c r="L19" i="62"/>
  <c r="S43" i="16"/>
  <c r="F279" i="46"/>
  <c r="F157" i="46"/>
  <c r="F33" i="46"/>
  <c r="F218" i="46"/>
  <c r="F96" i="46"/>
  <c r="G282" i="46"/>
  <c r="G160" i="46"/>
  <c r="G36" i="46"/>
  <c r="G221" i="46"/>
  <c r="G99" i="46"/>
  <c r="AD43" i="17"/>
  <c r="F285" i="46"/>
  <c r="F163" i="46"/>
  <c r="F39" i="46"/>
  <c r="F102" i="46"/>
  <c r="F224" i="46"/>
  <c r="G288" i="46"/>
  <c r="G166" i="46"/>
  <c r="G42" i="46"/>
  <c r="G227" i="46"/>
  <c r="G105" i="46"/>
  <c r="AD43" i="15"/>
  <c r="F291" i="46"/>
  <c r="F169" i="46"/>
  <c r="F45" i="46"/>
  <c r="F108" i="46"/>
  <c r="F230" i="46"/>
  <c r="J45" i="22"/>
  <c r="S44" i="22"/>
  <c r="D34" i="7"/>
  <c r="J7" i="13"/>
  <c r="S6" i="13"/>
  <c r="S5" i="21"/>
  <c r="J6" i="31"/>
  <c r="S47" i="13"/>
  <c r="J48" i="13"/>
  <c r="S6" i="21"/>
  <c r="K7" i="21"/>
  <c r="S7" i="21" s="1"/>
  <c r="S5" i="23"/>
  <c r="J6" i="23"/>
  <c r="S44" i="27"/>
  <c r="J45" i="27"/>
  <c r="O20" i="62"/>
  <c r="AD44" i="16"/>
  <c r="K51" i="20"/>
  <c r="S51" i="20" s="1"/>
  <c r="I49" i="20"/>
  <c r="J50" i="20"/>
  <c r="AD46" i="13"/>
  <c r="AD46" i="14"/>
  <c r="S44" i="23"/>
  <c r="J45" i="23"/>
  <c r="D37" i="7"/>
  <c r="D38" i="7" s="1"/>
  <c r="D39" i="7" s="1"/>
  <c r="D35" i="7"/>
  <c r="S7" i="12"/>
  <c r="K8" i="12"/>
  <c r="S8" i="12" s="1"/>
  <c r="S7" i="14"/>
  <c r="K8" i="14"/>
  <c r="S8" i="14" s="1"/>
  <c r="S46" i="14"/>
  <c r="I47" i="14" s="1"/>
  <c r="J6" i="22"/>
  <c r="K46" i="24"/>
  <c r="S46" i="24" s="1"/>
  <c r="S45" i="24"/>
  <c r="G294" i="46"/>
  <c r="G172" i="46"/>
  <c r="G48" i="46"/>
  <c r="G233" i="46"/>
  <c r="G111" i="46"/>
  <c r="G236" i="46"/>
  <c r="G114" i="46"/>
  <c r="G297" i="46"/>
  <c r="G175" i="46"/>
  <c r="G51" i="46"/>
  <c r="F239" i="46"/>
  <c r="F117" i="46"/>
  <c r="F300" i="46"/>
  <c r="F54" i="46"/>
  <c r="F178" i="46"/>
  <c r="G242" i="46"/>
  <c r="G120" i="46"/>
  <c r="G303" i="46"/>
  <c r="G181" i="46"/>
  <c r="G57" i="46"/>
  <c r="AC41" i="23"/>
  <c r="F245" i="46"/>
  <c r="F123" i="46"/>
  <c r="F306" i="46"/>
  <c r="F60" i="46"/>
  <c r="F184" i="46"/>
  <c r="G248" i="46"/>
  <c r="G126" i="46"/>
  <c r="G309" i="46"/>
  <c r="G187" i="46"/>
  <c r="G63" i="46"/>
  <c r="F251" i="46"/>
  <c r="F129" i="46"/>
  <c r="F190" i="46"/>
  <c r="F312" i="46"/>
  <c r="F66" i="46"/>
  <c r="G254" i="46"/>
  <c r="G132" i="46"/>
  <c r="G315" i="46"/>
  <c r="G193" i="46"/>
  <c r="G69" i="46"/>
  <c r="AG42" i="31"/>
  <c r="F257" i="46"/>
  <c r="F135" i="46"/>
  <c r="F196" i="46"/>
  <c r="F318" i="46"/>
  <c r="F72" i="46"/>
  <c r="G260" i="46"/>
  <c r="G138" i="46"/>
  <c r="G321" i="46"/>
  <c r="G199" i="46"/>
  <c r="G75" i="46"/>
  <c r="AC41" i="27"/>
  <c r="F263" i="46"/>
  <c r="F141" i="46"/>
  <c r="F324" i="46"/>
  <c r="F78" i="46"/>
  <c r="F202" i="46"/>
  <c r="G266" i="46"/>
  <c r="G144" i="46"/>
  <c r="G327" i="46"/>
  <c r="G205" i="46"/>
  <c r="G81" i="46"/>
  <c r="AD46" i="29"/>
  <c r="S43" i="13"/>
  <c r="AD45" i="13"/>
  <c r="S6" i="24"/>
  <c r="K7" i="24"/>
  <c r="S7" i="24" s="1"/>
  <c r="S5" i="27"/>
  <c r="J6" i="27"/>
  <c r="J46" i="30"/>
  <c r="J7" i="20"/>
  <c r="K8" i="20"/>
  <c r="S8" i="20" s="1"/>
  <c r="I12" i="36"/>
  <c r="I12" i="35"/>
  <c r="H16" i="34"/>
  <c r="I11" i="48"/>
  <c r="H11" i="43"/>
  <c r="I28" i="38"/>
  <c r="I27" i="33"/>
  <c r="I9" i="37"/>
  <c r="G2" i="46"/>
  <c r="G209" i="46"/>
  <c r="G87" i="46"/>
  <c r="G148" i="46"/>
  <c r="G270" i="46"/>
  <c r="G5" i="46"/>
  <c r="G24" i="46"/>
  <c r="F273" i="46"/>
  <c r="F151" i="46"/>
  <c r="F27" i="46"/>
  <c r="F212" i="46"/>
  <c r="F90" i="46"/>
  <c r="F215" i="46"/>
  <c r="F93" i="46"/>
  <c r="F276" i="46"/>
  <c r="F30" i="46"/>
  <c r="F154" i="46"/>
  <c r="L21" i="62"/>
  <c r="S45" i="16"/>
  <c r="G218" i="46"/>
  <c r="G96" i="46"/>
  <c r="G279" i="46"/>
  <c r="G157" i="46"/>
  <c r="G33" i="46"/>
  <c r="F221" i="46"/>
  <c r="F99" i="46"/>
  <c r="F282" i="46"/>
  <c r="F160" i="46"/>
  <c r="F36" i="46"/>
  <c r="G224" i="46"/>
  <c r="G102" i="46"/>
  <c r="G285" i="46"/>
  <c r="G163" i="46"/>
  <c r="AD43" i="18"/>
  <c r="G39" i="46"/>
  <c r="F227" i="46"/>
  <c r="F105" i="46"/>
  <c r="F166" i="46"/>
  <c r="F42" i="46"/>
  <c r="F288" i="46"/>
  <c r="G230" i="46"/>
  <c r="G108" i="46"/>
  <c r="G291" i="46"/>
  <c r="G169" i="46"/>
  <c r="G45" i="46"/>
  <c r="AB45" i="20"/>
  <c r="F233" i="46"/>
  <c r="F111" i="46"/>
  <c r="F172" i="46"/>
  <c r="F294" i="46"/>
  <c r="F48" i="46"/>
  <c r="F297" i="46"/>
  <c r="F175" i="46"/>
  <c r="F51" i="46"/>
  <c r="F236" i="46"/>
  <c r="F114" i="46"/>
  <c r="G300" i="46"/>
  <c r="G178" i="46"/>
  <c r="G54" i="46"/>
  <c r="G239" i="46"/>
  <c r="G117" i="46"/>
  <c r="AC41" i="22"/>
  <c r="F303" i="46"/>
  <c r="F181" i="46"/>
  <c r="F57" i="46"/>
  <c r="F242" i="46"/>
  <c r="F120" i="46"/>
  <c r="G306" i="46"/>
  <c r="G184" i="46"/>
  <c r="G60" i="46"/>
  <c r="G245" i="46"/>
  <c r="G123" i="46"/>
  <c r="AC41" i="24"/>
  <c r="F309" i="46"/>
  <c r="F187" i="46"/>
  <c r="F63" i="46"/>
  <c r="F126" i="46"/>
  <c r="F248" i="46"/>
  <c r="G312" i="46"/>
  <c r="G190" i="46"/>
  <c r="G66" i="46"/>
  <c r="G251" i="46"/>
  <c r="G129" i="46"/>
  <c r="AG42" i="30"/>
  <c r="F315" i="46"/>
  <c r="F193" i="46"/>
  <c r="F69" i="46"/>
  <c r="F132" i="46"/>
  <c r="F254" i="46"/>
  <c r="G318" i="46"/>
  <c r="G196" i="46"/>
  <c r="G72" i="46"/>
  <c r="G257" i="46"/>
  <c r="G135" i="46"/>
  <c r="AD46" i="32"/>
  <c r="F321" i="46"/>
  <c r="F199" i="46"/>
  <c r="F75" i="46"/>
  <c r="F260" i="46"/>
  <c r="F138" i="46"/>
  <c r="G324" i="46"/>
  <c r="G202" i="46"/>
  <c r="G78" i="46"/>
  <c r="G263" i="46"/>
  <c r="G141" i="46"/>
  <c r="AC41" i="28"/>
  <c r="F327" i="46"/>
  <c r="F205" i="46"/>
  <c r="F81" i="46"/>
  <c r="F266" i="46"/>
  <c r="F144" i="46"/>
  <c r="AD43" i="11"/>
  <c r="S7" i="18"/>
  <c r="AC41" i="21"/>
  <c r="AD46" i="26"/>
  <c r="J45" i="28"/>
  <c r="S6" i="30"/>
  <c r="K47" i="31"/>
  <c r="S47" i="31" s="1"/>
  <c r="I31" i="33"/>
  <c r="I136" i="33" s="1"/>
  <c r="J31" i="33"/>
  <c r="J136" i="33" s="1"/>
  <c r="K36" i="41"/>
  <c r="I58" i="41"/>
  <c r="H58" i="41" s="1"/>
  <c r="N58" i="41"/>
  <c r="K48" i="41"/>
  <c r="F29" i="49"/>
  <c r="F32" i="49"/>
  <c r="K54" i="41"/>
  <c r="M58" i="41"/>
  <c r="K58" i="41" s="1"/>
  <c r="K49" i="41"/>
  <c r="U148" i="61"/>
  <c r="AA13" i="61"/>
  <c r="J52" i="49"/>
  <c r="J51" i="49"/>
  <c r="J50" i="49"/>
  <c r="J49" i="49"/>
  <c r="M270" i="46"/>
  <c r="M148" i="46"/>
  <c r="M24" i="46"/>
  <c r="E14" i="46"/>
  <c r="E35" i="45"/>
  <c r="E25" i="45"/>
  <c r="G17" i="44"/>
  <c r="F5" i="42"/>
  <c r="AA15" i="61"/>
  <c r="U14" i="61"/>
  <c r="E29" i="60"/>
  <c r="E6" i="60"/>
  <c r="U15" i="61"/>
  <c r="AA11" i="61"/>
  <c r="E5" i="53"/>
  <c r="E5" i="52"/>
  <c r="D5" i="50"/>
  <c r="M209" i="46"/>
  <c r="M87" i="46"/>
  <c r="AA16" i="61"/>
  <c r="AA12" i="61"/>
  <c r="E32" i="60"/>
  <c r="E30" i="60"/>
  <c r="E5" i="60"/>
  <c r="E3" i="60"/>
  <c r="J47" i="49"/>
  <c r="J46" i="49"/>
  <c r="F23" i="46"/>
  <c r="E38" i="45"/>
  <c r="E28" i="45"/>
  <c r="E24" i="50"/>
  <c r="F2" i="52"/>
  <c r="E4" i="60"/>
  <c r="S46" i="30" l="1"/>
  <c r="K47" i="30"/>
  <c r="S47" i="30" s="1"/>
  <c r="D41" i="7"/>
  <c r="D43" i="7"/>
  <c r="D44" i="7" s="1"/>
  <c r="D45" i="7" s="1"/>
  <c r="D40" i="7"/>
  <c r="K7" i="23"/>
  <c r="S7" i="23" s="1"/>
  <c r="S6" i="23"/>
  <c r="S48" i="13"/>
  <c r="K49" i="13"/>
  <c r="S49" i="13" s="1"/>
  <c r="K46" i="22"/>
  <c r="S46" i="22" s="1"/>
  <c r="S45" i="22"/>
  <c r="K49" i="15"/>
  <c r="S49" i="15" s="1"/>
  <c r="S48" i="15"/>
  <c r="L24" i="62"/>
  <c r="H25" i="62"/>
  <c r="L25" i="62" s="1"/>
  <c r="K7" i="27"/>
  <c r="S7" i="27" s="1"/>
  <c r="S6" i="27"/>
  <c r="K7" i="22"/>
  <c r="S7" i="22" s="1"/>
  <c r="S6" i="22"/>
  <c r="K46" i="23"/>
  <c r="S46" i="23" s="1"/>
  <c r="S45" i="23"/>
  <c r="K8" i="13"/>
  <c r="S8" i="13" s="1"/>
  <c r="S7" i="13"/>
  <c r="S48" i="12"/>
  <c r="K49" i="12"/>
  <c r="S49" i="12" s="1"/>
  <c r="S48" i="11"/>
  <c r="K49" i="11"/>
  <c r="S49" i="11" s="1"/>
  <c r="K46" i="28"/>
  <c r="S46" i="28" s="1"/>
  <c r="S45" i="28"/>
  <c r="J48" i="14"/>
  <c r="S47" i="14"/>
  <c r="K46" i="27"/>
  <c r="S46" i="27" s="1"/>
  <c r="S45" i="27"/>
  <c r="S6" i="31"/>
  <c r="K7" i="31"/>
  <c r="S7" i="31" s="1"/>
  <c r="S45" i="21"/>
  <c r="K46" i="21"/>
  <c r="S46" i="21" s="1"/>
  <c r="K49" i="17"/>
  <c r="S49" i="17" s="1"/>
  <c r="S48" i="17"/>
  <c r="S48" i="18"/>
  <c r="K49" i="18"/>
  <c r="S49" i="18" s="1"/>
  <c r="I8" i="37"/>
  <c r="I27" i="38"/>
  <c r="I11" i="36"/>
  <c r="I10" i="48"/>
  <c r="I11" i="35"/>
  <c r="H15" i="34"/>
  <c r="H10" i="43"/>
  <c r="I26" i="33"/>
  <c r="I47" i="16"/>
  <c r="J48" i="16"/>
  <c r="U55" i="19"/>
  <c r="L56" i="19"/>
  <c r="U56" i="19" s="1"/>
  <c r="K10" i="48"/>
  <c r="K8" i="37"/>
  <c r="H24" i="34"/>
  <c r="I10" i="43"/>
  <c r="K27" i="38"/>
  <c r="J26" i="33"/>
  <c r="D49" i="7" l="1"/>
  <c r="D46" i="7"/>
  <c r="D47" i="7"/>
  <c r="D51" i="7"/>
  <c r="D48" i="7"/>
  <c r="S48" i="14"/>
  <c r="K49" i="14"/>
  <c r="S49" i="14" s="1"/>
  <c r="S48" i="16"/>
  <c r="K49" i="16"/>
  <c r="S4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000-000001000000}">
      <text>
        <r>
          <rPr>
            <sz val="9"/>
            <color indexed="81"/>
            <rFont val="Tahoma"/>
            <family val="2"/>
          </rPr>
          <t>Тип организации</t>
        </r>
      </text>
    </comment>
    <comment ref="L6" authorId="0" shapeId="0" xr:uid="{00000000-0006-0000-30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C00-000001000000}">
      <text>
        <r>
          <rPr>
            <sz val="9"/>
            <color indexed="81"/>
            <rFont val="Arial"/>
            <family val="2"/>
          </rPr>
          <t>сюда же для некоторых формул может входить:
- VOTV
- HOTVSNA</t>
        </r>
      </text>
    </comment>
    <comment ref="U2" authorId="0" shapeId="0" xr:uid="{00000000-0006-0000-3C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<sst xmlns="http://schemas.openxmlformats.org/spreadsheetml/2006/main" count="13553" uniqueCount="3142">
  <si>
    <t xml:space="preserve"> (требуется обновление)</t>
  </si>
  <si>
    <t>Код отчёта: PP110.OPEN.INFO.BALANCE.HEAT.EIAS</t>
  </si>
  <si>
    <t>Версия отчёта: 1.0.9</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</si>
  <si>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</si>
  <si>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</si>
  <si>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</si>
  <si>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</si>
  <si>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</si>
  <si>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</si>
  <si>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</si>
  <si>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</si>
  <si>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</si>
  <si>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</si>
  <si>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</si>
  <si>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</si>
  <si>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</si>
  <si>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</si>
  <si>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</si>
  <si>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</si>
  <si>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</si>
  <si>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</si>
  <si>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</si>
  <si>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</si>
  <si>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</si>
  <si>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</si>
  <si>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</si>
  <si>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</si>
  <si>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</si>
  <si>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</si>
  <si>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</si>
  <si>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</si>
  <si>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</si>
  <si>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</si>
  <si>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</si>
  <si>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</si>
  <si>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</si>
  <si>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</si>
  <si>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</si>
  <si>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</si>
  <si>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</si>
  <si>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</si>
  <si>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"ХТК"</t>
  </si>
  <si>
    <t>Наименование (описание) обособленного подразделения</t>
  </si>
  <si>
    <t>ИНН</t>
  </si>
  <si>
    <t>5101360369</t>
  </si>
  <si>
    <t>КПП</t>
  </si>
  <si>
    <t>510301001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</si>
  <si>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</si>
  <si>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</si>
  <si>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</si>
  <si>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</si>
  <si>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</si>
  <si>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</si>
  <si>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</si>
  <si>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</si>
  <si>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</si>
  <si>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</si>
  <si>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</si>
  <si>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</si>
  <si>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</si>
  <si>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</si>
  <si>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</si>
  <si>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</si>
  <si>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</si>
  <si>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</si>
  <si>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</si>
  <si>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</si>
  <si>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184250, Мурманская область, г. Кировск, ул. Хибиногорская д. 28а</t>
  </si>
  <si>
    <t>Фамилия, имя, отчество руководителя</t>
  </si>
  <si>
    <t>Николичев Александр Николаевич</t>
  </si>
  <si>
    <t>Ответственный за заполнение формы</t>
  </si>
  <si>
    <t>Фамилия, имя, отчество</t>
  </si>
  <si>
    <t>Соловьев Александр Юрьевич</t>
  </si>
  <si>
    <t>Должность</t>
  </si>
  <si>
    <t>Начальник ПЭО</t>
  </si>
  <si>
    <t>Контактный телефон</t>
  </si>
  <si>
    <t>8(81531)5-46-92</t>
  </si>
  <si>
    <t>E-mail</t>
  </si>
  <si>
    <t>ASoloveyv@hhc.ru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</si>
  <si>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</si>
  <si>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</si>
  <si>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</si>
  <si>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</si>
  <si>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</si>
  <si>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</si>
  <si>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</si>
  <si>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</si>
  <si>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</si>
  <si>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</si>
  <si>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</si>
  <si>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</si>
  <si>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</si>
  <si>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</si>
  <si>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</si>
  <si>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</si>
  <si>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t>
  </si>
  <si>
    <t>город Кировск</t>
  </si>
  <si>
    <t>47522000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</si>
  <si>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</si>
  <si>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</si>
  <si>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</si>
  <si>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</si>
  <si>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</si>
  <si>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</si>
  <si>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</si>
  <si>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</si>
  <si>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</si>
  <si>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</si>
  <si>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</si>
  <si>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</si>
  <si>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</si>
  <si>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</si>
  <si>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</si>
  <si>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система теплоснабжения г. Кировск</t>
  </si>
  <si>
    <t>diff_1</t>
  </si>
  <si>
    <t>4190068</t>
  </si>
  <si>
    <t>a</t>
  </si>
  <si>
    <t>×</t>
  </si>
  <si>
    <t>система теплоснабжения н.п. Титан</t>
  </si>
  <si>
    <t>diff_5</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</si>
  <si>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</si>
  <si>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</si>
  <si>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</si>
  <si>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</si>
  <si>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</si>
  <si>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</si>
  <si>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</si>
  <si>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</si>
  <si>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</si>
  <si>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</si>
  <si>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</si>
  <si>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</si>
  <si>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</si>
  <si>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</si>
  <si>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</si>
  <si>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</si>
  <si>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</si>
  <si>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</si>
  <si>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</si>
  <si>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</si>
  <si>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</si>
  <si>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</si>
  <si>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</si>
  <si>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</si>
  <si>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</si>
  <si>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</si>
  <si>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</si>
  <si>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</si>
  <si>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</si>
  <si>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</si>
  <si>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</si>
  <si>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</si>
  <si>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</si>
  <si>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</si>
  <si>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</si>
  <si>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</si>
  <si>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</si>
  <si>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</si>
  <si>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</si>
  <si>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</si>
  <si>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</si>
  <si>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</si>
  <si>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</si>
  <si>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</si>
  <si>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</si>
  <si>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</si>
  <si>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</si>
  <si>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</si>
  <si>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</si>
  <si>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</si>
  <si>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</si>
  <si>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</si>
  <si>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</si>
  <si>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</si>
  <si>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</si>
  <si>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</si>
  <si>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</si>
  <si>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</si>
  <si>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</si>
  <si>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</si>
  <si>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</si>
  <si>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</si>
  <si>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</si>
  <si>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</si>
  <si>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</si>
  <si>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</si>
  <si>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</si>
  <si>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</si>
  <si>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</si>
  <si>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</si>
  <si>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</si>
  <si>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</si>
  <si>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</si>
  <si>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</si>
  <si>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</si>
  <si>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</si>
  <si>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</si>
  <si>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</si>
  <si>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</si>
  <si>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</si>
  <si>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</si>
  <si>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</si>
  <si>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</si>
  <si>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</si>
  <si>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</si>
  <si>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</si>
  <si>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</si>
  <si>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</si>
  <si>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</si>
  <si>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</si>
  <si>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</si>
  <si>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</si>
  <si>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</si>
  <si>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</si>
  <si>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</si>
  <si>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</si>
  <si>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</si>
  <si>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</si>
  <si>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</si>
  <si>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</si>
  <si>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</si>
  <si>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</si>
  <si>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</si>
  <si>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</si>
  <si>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</si>
  <si>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</si>
  <si>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</si>
  <si>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</si>
  <si>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</si>
  <si>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</si>
  <si>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</si>
  <si>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</si>
  <si>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</si>
  <si>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</si>
  <si>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</si>
  <si>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</si>
  <si>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</si>
  <si>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</si>
  <si>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</si>
  <si>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</si>
  <si>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</si>
  <si>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</si>
  <si>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</si>
  <si>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</si>
  <si>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</si>
  <si>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</si>
  <si>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</si>
  <si>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</si>
  <si>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</si>
  <si>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</si>
  <si>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</si>
  <si>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</si>
  <si>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</si>
  <si>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</si>
  <si>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</si>
  <si>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</si>
  <si>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</si>
  <si>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</si>
  <si>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</si>
  <si>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</si>
  <si>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</si>
  <si>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</si>
  <si>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</si>
  <si>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</si>
  <si>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</si>
  <si>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</si>
  <si>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</si>
  <si>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</si>
  <si>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</si>
  <si>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</si>
  <si>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</si>
  <si>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</si>
  <si>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</si>
  <si>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</si>
  <si>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</si>
  <si>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</si>
  <si>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</si>
  <si>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</si>
  <si>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</si>
  <si>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</si>
  <si>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</si>
  <si>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</si>
  <si>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</si>
  <si>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</si>
  <si>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</si>
  <si>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</si>
  <si>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</si>
  <si>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</si>
  <si>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</si>
  <si>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</si>
  <si>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</si>
  <si>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</si>
  <si>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</si>
  <si>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</si>
  <si>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</si>
  <si>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</si>
  <si>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</si>
  <si>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</si>
  <si>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</si>
  <si>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</si>
  <si>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</si>
  <si>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</si>
  <si>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</si>
  <si>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</si>
  <si>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</si>
  <si>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</si>
  <si>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</si>
  <si>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</si>
  <si>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</si>
  <si>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</si>
  <si>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</si>
  <si>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</si>
  <si>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</si>
  <si>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</si>
  <si>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</si>
  <si>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</si>
  <si>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</si>
  <si>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</si>
  <si>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</si>
  <si>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</si>
  <si>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</si>
  <si>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</si>
  <si>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</si>
  <si>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</si>
  <si>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</si>
  <si>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</si>
  <si>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</si>
  <si>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</si>
  <si>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</si>
  <si>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</si>
  <si>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</si>
  <si>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</si>
  <si>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</si>
  <si>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</si>
  <si>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</si>
  <si>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</si>
  <si>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</si>
  <si>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</si>
  <si>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</si>
  <si>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</si>
  <si>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</si>
  <si>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</si>
  <si>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</si>
  <si>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</si>
  <si>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</si>
  <si>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</si>
  <si>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</si>
  <si>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</si>
  <si>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</si>
  <si>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</si>
  <si>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</si>
  <si>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</si>
  <si>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</si>
  <si>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</si>
  <si>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</si>
  <si>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</si>
  <si>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</si>
  <si>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</si>
  <si>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</si>
  <si>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</si>
  <si>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</si>
  <si>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</si>
  <si>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</si>
  <si>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</si>
  <si>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</si>
  <si>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</si>
  <si>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</si>
  <si>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</si>
  <si>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</si>
  <si>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</si>
  <si>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</si>
  <si>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</si>
  <si>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</si>
  <si>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</si>
  <si>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</si>
  <si>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</si>
  <si>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</si>
  <si>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</si>
  <si>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</si>
  <si>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</si>
  <si>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</si>
  <si>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</si>
  <si>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</si>
  <si>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</si>
  <si>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</si>
  <si>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</si>
  <si>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</si>
  <si>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</si>
  <si>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</si>
  <si>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</si>
  <si>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</si>
  <si>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</si>
  <si>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</si>
  <si>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</si>
  <si>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</si>
  <si>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</si>
  <si>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</si>
  <si>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</si>
  <si>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</si>
  <si>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</si>
  <si>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</si>
  <si>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</si>
  <si>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</si>
  <si>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</si>
  <si>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</si>
  <si>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</si>
  <si>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</si>
  <si>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</si>
  <si>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</si>
  <si>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</si>
  <si>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</si>
  <si>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</si>
  <si>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</si>
  <si>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</si>
  <si>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</si>
  <si>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</si>
  <si>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</si>
  <si>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</si>
  <si>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</si>
  <si>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</si>
  <si>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</si>
  <si>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</si>
  <si>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</si>
  <si>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</si>
  <si>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</si>
  <si>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</si>
  <si>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</si>
  <si>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</si>
  <si>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</si>
  <si>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</si>
  <si>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</si>
  <si>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</si>
  <si>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</si>
  <si>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</si>
  <si>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</si>
  <si>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</si>
  <si>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</si>
  <si>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</si>
  <si>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</si>
  <si>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</si>
  <si>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</si>
  <si>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</si>
  <si>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</si>
  <si>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</si>
  <si>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</si>
  <si>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</si>
  <si>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</si>
  <si>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</si>
  <si>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</si>
  <si>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</si>
  <si>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</si>
  <si>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</si>
  <si>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</si>
  <si>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</si>
  <si>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</si>
  <si>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</si>
  <si>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</si>
  <si>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</si>
  <si>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</si>
  <si>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</si>
  <si>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</si>
  <si>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</si>
  <si>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</si>
  <si>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</si>
  <si>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</si>
  <si>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</si>
  <si>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</si>
  <si>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</si>
  <si>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</si>
  <si>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</si>
  <si>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</si>
  <si>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</si>
  <si>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</si>
  <si>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</si>
  <si>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</si>
  <si>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</si>
  <si>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</si>
  <si>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</si>
  <si>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</si>
  <si>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</si>
  <si>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</si>
  <si>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</si>
  <si>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</si>
  <si>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</si>
  <si>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</si>
  <si>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</si>
  <si>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</si>
  <si>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</si>
  <si>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</si>
  <si>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</si>
  <si>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</si>
  <si>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</si>
  <si>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</si>
  <si>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</si>
  <si>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</si>
  <si>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</si>
  <si>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</si>
  <si>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</si>
  <si>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</si>
  <si>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</si>
  <si>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</si>
  <si>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</si>
  <si>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</si>
  <si>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</si>
  <si>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</si>
  <si>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</si>
  <si>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</si>
  <si>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</si>
  <si>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</si>
  <si>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</si>
  <si>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</si>
  <si>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</si>
  <si>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</si>
  <si>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</si>
  <si>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</si>
  <si>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</si>
  <si>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</si>
  <si>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</si>
  <si>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</si>
  <si>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</si>
  <si>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</si>
  <si>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</si>
  <si>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</si>
  <si>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</si>
  <si>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</si>
  <si>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</si>
  <si>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</si>
  <si>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</si>
  <si>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</si>
  <si>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</si>
  <si>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</si>
  <si>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</si>
  <si>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</si>
  <si>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</si>
  <si>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</si>
  <si>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</si>
  <si>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</si>
  <si>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</si>
  <si>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</si>
  <si>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</si>
  <si>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</si>
  <si>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</si>
  <si>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</si>
  <si>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</si>
  <si>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</si>
  <si>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</si>
  <si>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</si>
  <si>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</si>
  <si>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</si>
  <si>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</si>
  <si>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</si>
  <si>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</si>
  <si>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</si>
  <si>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</si>
  <si>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</si>
  <si>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</si>
  <si>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</si>
  <si>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</si>
  <si>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</si>
  <si>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</si>
  <si>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</si>
  <si>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</si>
  <si>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</si>
  <si>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</si>
  <si>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</si>
  <si>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</si>
  <si>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</si>
  <si>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</si>
  <si>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</si>
  <si>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</si>
  <si>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</si>
  <si>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</si>
  <si>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</si>
  <si>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</si>
  <si>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</si>
  <si>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</si>
  <si>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</si>
  <si>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</si>
  <si>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</si>
  <si>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https://portal.eias.ru/Portal/DownloadPage.aspx?type=12&amp;guid=80003324-ee13-4fbb-be40-f9a96645c881</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</si>
  <si>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</si>
  <si>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</si>
  <si>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</si>
  <si>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</si>
  <si>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</si>
  <si>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</si>
  <si>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</si>
  <si>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</si>
  <si>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</si>
  <si>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</si>
  <si>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</si>
  <si>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</si>
  <si>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</si>
  <si>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</si>
  <si>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</si>
  <si>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</si>
  <si>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</si>
  <si>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</si>
  <si>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</si>
  <si>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</si>
  <si>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</si>
  <si>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</si>
  <si>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</si>
  <si>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</si>
  <si>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</si>
  <si>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</si>
  <si>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</si>
  <si>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</si>
  <si>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</si>
  <si>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</si>
  <si>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</si>
  <si>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</si>
  <si>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</si>
  <si>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</si>
  <si>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</si>
  <si>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</si>
  <si>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</si>
  <si>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</si>
  <si>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</si>
  <si>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</si>
  <si>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</si>
  <si>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</si>
  <si>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</si>
  <si>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</si>
  <si>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</si>
  <si>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</si>
  <si>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</si>
  <si>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</si>
  <si>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</si>
  <si>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</si>
  <si>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</si>
  <si>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</si>
  <si>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</si>
  <si>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</si>
  <si>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</si>
  <si>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</si>
  <si>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</si>
  <si>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</si>
  <si>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</si>
  <si>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</si>
  <si>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</si>
  <si>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</si>
  <si>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</si>
  <si>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</si>
  <si>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</si>
  <si>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</si>
  <si>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</si>
  <si>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</si>
  <si>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</si>
  <si>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</si>
  <si>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</si>
  <si>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</si>
  <si>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</si>
  <si>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</si>
  <si>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</si>
  <si>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</si>
  <si>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</si>
  <si>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</si>
  <si>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</si>
  <si>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</si>
  <si>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</si>
  <si>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</si>
  <si>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</si>
  <si>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</si>
  <si>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</si>
  <si>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</si>
  <si>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</si>
  <si>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</si>
  <si>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</si>
  <si>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</si>
  <si>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</si>
  <si>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</si>
  <si>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</si>
  <si>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</si>
  <si>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</si>
  <si>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</si>
  <si>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</si>
  <si>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</si>
  <si>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</si>
  <si>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</si>
  <si>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</si>
  <si>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</si>
  <si>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</si>
  <si>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</si>
  <si>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</si>
  <si>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</si>
  <si>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</si>
  <si>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</si>
  <si>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</si>
  <si>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</si>
  <si>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</si>
  <si>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</si>
  <si>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</si>
  <si>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</si>
  <si>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</si>
  <si>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</si>
  <si>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</si>
  <si>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</si>
  <si>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</si>
  <si>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</si>
  <si>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</si>
  <si>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</si>
  <si>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</si>
  <si>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</si>
  <si>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</si>
  <si>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</si>
  <si>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</si>
  <si>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</si>
  <si>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</si>
  <si>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</si>
  <si>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</si>
  <si>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</si>
  <si>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</si>
  <si>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</si>
  <si>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</si>
  <si>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</si>
  <si>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</si>
  <si>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</si>
  <si>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</si>
  <si>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</si>
  <si>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</si>
  <si>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</si>
  <si>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</si>
  <si>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</si>
  <si>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</si>
  <si>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</si>
  <si>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https://portal.eias.ru/Portal/DownloadPage.aspx?type=12&amp;guid=6d89bb3e-8963-4d8a-9f62-52e69edef78d</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</si>
  <si>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</si>
  <si>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</si>
  <si>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</si>
  <si>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</si>
  <si>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</si>
  <si>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</si>
  <si>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</si>
  <si>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</si>
  <si>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</si>
  <si>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</si>
  <si>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</si>
  <si>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</si>
  <si>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</si>
  <si>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</si>
  <si>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</si>
  <si>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</si>
  <si>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</si>
  <si>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</si>
  <si>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</si>
  <si>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</si>
  <si>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</si>
  <si>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</si>
  <si>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</si>
  <si>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</si>
  <si>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</si>
  <si>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</si>
  <si>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</si>
  <si>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</si>
  <si>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</si>
  <si>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</si>
  <si>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</si>
  <si>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</si>
  <si>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</si>
  <si>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</si>
  <si>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</si>
  <si>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</si>
  <si>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</si>
  <si>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</si>
  <si>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</si>
  <si>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</si>
  <si>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</si>
  <si>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</si>
  <si>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</si>
  <si>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</si>
  <si>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</si>
  <si>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</si>
  <si>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</si>
  <si>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</si>
  <si>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</si>
  <si>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</si>
  <si>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</si>
  <si>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</si>
  <si>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</si>
  <si>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</si>
  <si>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</si>
  <si>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</si>
  <si>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</si>
  <si>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</si>
  <si>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</si>
  <si>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</si>
  <si>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</si>
  <si>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</si>
  <si>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</si>
  <si>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</si>
  <si>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</si>
  <si>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</si>
  <si>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</si>
  <si>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</si>
  <si>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</si>
  <si>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</si>
  <si>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</si>
  <si>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</si>
  <si>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</si>
  <si>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</si>
  <si>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</si>
  <si>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</si>
  <si>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</si>
  <si>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</si>
  <si>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</si>
  <si>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</si>
  <si>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</si>
  <si>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</si>
  <si>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</si>
  <si>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</si>
  <si>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</si>
  <si>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</si>
  <si>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</si>
  <si>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</si>
  <si>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</si>
  <si>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</si>
  <si>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</si>
  <si>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</si>
  <si>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</si>
  <si>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</si>
  <si>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</si>
  <si>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</si>
  <si>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</si>
  <si>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</si>
  <si>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</si>
  <si>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</si>
  <si>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</si>
  <si>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</si>
  <si>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</si>
  <si>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</si>
  <si>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</si>
  <si>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</si>
  <si>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</si>
  <si>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</si>
  <si>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</si>
  <si>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</si>
  <si>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</si>
  <si>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</si>
  <si>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</si>
  <si>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</si>
  <si>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</si>
  <si>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</si>
  <si>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</si>
  <si>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</si>
  <si>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</si>
  <si>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</si>
  <si>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</si>
  <si>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</si>
  <si>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</si>
  <si>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</si>
  <si>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</si>
  <si>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</si>
  <si>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</si>
  <si>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</si>
  <si>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</si>
  <si>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</si>
  <si>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</si>
  <si>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</si>
  <si>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</si>
  <si>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</si>
  <si>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</si>
  <si>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</si>
  <si>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</si>
  <si>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</si>
  <si>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</si>
  <si>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</si>
  <si>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</si>
  <si>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</si>
  <si>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</si>
  <si>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</si>
  <si>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</si>
  <si>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</si>
  <si>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</si>
  <si>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</si>
  <si>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</si>
  <si>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</si>
  <si>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</si>
  <si>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</si>
  <si>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</si>
  <si>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</si>
  <si>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</si>
  <si>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</si>
  <si>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</si>
  <si>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</si>
  <si>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</si>
  <si>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</si>
  <si>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</si>
  <si>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</si>
  <si>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</si>
  <si>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</si>
  <si>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</si>
  <si>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</si>
  <si>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</si>
  <si>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</si>
  <si>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</si>
  <si>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</si>
  <si>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</si>
  <si>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</si>
  <si>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</si>
  <si>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</si>
  <si>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</si>
  <si>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</si>
  <si>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</si>
  <si>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</si>
  <si>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</si>
  <si>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повышение надёжности и энергетической эффективности</t>
  </si>
  <si>
    <t>Министерство энергетики и жилищно-коммунального хозяйства Мурманской области</t>
  </si>
  <si>
    <t>Администрация города Кировска Мурманской области с подведомственной территории</t>
  </si>
  <si>
    <t>10.01.2022</t>
  </si>
  <si>
    <t>31.12.2026</t>
  </si>
  <si>
    <t>Об утверждении инвестиционной программы АО "Хибинская тепловая компания" в сфере теплоснабжения на 2022-2026 год</t>
  </si>
  <si>
    <t>приказ</t>
  </si>
  <si>
    <t>135</t>
  </si>
  <si>
    <t>10.08.2021</t>
  </si>
  <si>
    <t>О внесении изменений в приказ Министерства энергетики и жилищно-коммунального хозяйства Мурманской области от 10.08.2021 №135 "Об утверждении инвестиционной программы АО "Хибинская тепловая компания" в сфере теплоснабжения на 2022-2026 годы"</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</si>
  <si>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</si>
  <si>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</si>
  <si>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</si>
  <si>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</si>
  <si>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</si>
  <si>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</si>
  <si>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</si>
  <si>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</si>
  <si>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</si>
  <si>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</si>
  <si>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</si>
  <si>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</si>
  <si>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</si>
  <si>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</si>
  <si>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</si>
  <si>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</si>
  <si>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</si>
  <si>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</si>
  <si>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</si>
  <si>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</si>
  <si>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</si>
  <si>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</si>
  <si>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</si>
  <si>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</si>
  <si>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</si>
  <si>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</si>
  <si>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</si>
  <si>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</si>
  <si>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</si>
  <si>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</si>
  <si>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</si>
  <si>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</si>
  <si>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Строительство тепловой сети от III-тк-2а до III-тк-14, L-216 м, Dy-400 мм</t>
  </si>
  <si>
    <t>Декабрь</t>
  </si>
  <si>
    <t>2023</t>
  </si>
  <si>
    <t xml:space="preserve">      Прочие амортизационные отчисления</t>
  </si>
  <si>
    <t>Добавить источник финансирования</t>
  </si>
  <si>
    <t>Добавить объект инфраструктуры</t>
  </si>
  <si>
    <t>Реконструкция  трубопровода тепловой сети III-тк-14 до III-тк-4, L-474 м, Dy-300 мм</t>
  </si>
  <si>
    <t>Модернизация участка трубопровода тепловой сети между павильонами № 4б и № 3, L-4700 м, Dy-500 мм</t>
  </si>
  <si>
    <t>Модернизация участка трубопровода тепловой сети 4-ТК-1а до ТК-0-1, L-598,9 м, Dy-600 мм</t>
  </si>
  <si>
    <t>Реконструкция секционирующего узла павильона № 5</t>
  </si>
  <si>
    <t>Модернизация теплового узла в II-тк-6</t>
  </si>
  <si>
    <t>Модернизация АСУТП насосных</t>
  </si>
  <si>
    <t>Внедрение системы моделирования режимов работы тепловых сетей</t>
  </si>
  <si>
    <t>Добавить мероприятие</t>
  </si>
  <si>
    <t>Установка приборов технического учета в насосных станциях, павильонах и тепловых камерах</t>
  </si>
  <si>
    <t>Металлизация БАГВ</t>
  </si>
  <si>
    <t>Реконструкция трубопровода тепловой сети от павильона 2  до ТП СОК Тирвас</t>
  </si>
  <si>
    <t>2024</t>
  </si>
  <si>
    <t xml:space="preserve">  Прибыль направляемая на инвестиции</t>
  </si>
  <si>
    <t xml:space="preserve">  Прочие собственные средства</t>
  </si>
  <si>
    <t>Реконструкция трубопровода тепловой сети IV-ТК-3 до IV-ТК-4</t>
  </si>
  <si>
    <t>Реконструкция квартальной тепловой сети от павильона 2  до ТП СОК Тирвас</t>
  </si>
  <si>
    <t>Реконструкция ввода тепловой сети жилого фонда улица Олимпийская дома 14-16 и 18-24</t>
  </si>
  <si>
    <t>Модернизация узлов секционирования и тепловых камер</t>
  </si>
  <si>
    <t>Модернизация АСУ ТП теплофикационных насосных станций</t>
  </si>
  <si>
    <t>Установка приборов учета в насосных станциях, павильонах и тепловых камера</t>
  </si>
  <si>
    <t>Модернизация линий электроснабжения и связи от ЦТП г. Кировск до ТНС №3а</t>
  </si>
  <si>
    <t>Модернизация насосов и теплофикационных схем насосных станций</t>
  </si>
  <si>
    <t>Вывод из эксплуатации тепловой сети от IV-тк-3в до IV-тк-3д</t>
  </si>
  <si>
    <t>Приобретение микроавтобуса</t>
  </si>
  <si>
    <t>Февраль</t>
  </si>
  <si>
    <t>Приобретение серверного оборудования и оргтехники</t>
  </si>
  <si>
    <t>Июнь</t>
  </si>
  <si>
    <t>Проектно-изыскательские работы</t>
  </si>
  <si>
    <t>2025</t>
  </si>
  <si>
    <t>Реконструкция квартальной тепловой сети II-тк-18 до II-тк-25</t>
  </si>
  <si>
    <t>Модернизация узлов секционирования в тепловых камерах</t>
  </si>
  <si>
    <t>Приобретение серверного оборудования и оргтехникиах</t>
  </si>
  <si>
    <t>2026</t>
  </si>
  <si>
    <t>Модернизация трубопровода тепловой сети IV-ТК-15 до IV-ТК-18</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</si>
  <si>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</si>
  <si>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</si>
  <si>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</si>
  <si>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</si>
  <si>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</si>
  <si>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</si>
  <si>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</si>
  <si>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</si>
  <si>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</si>
  <si>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</si>
  <si>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</si>
  <si>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</si>
  <si>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</si>
  <si>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</si>
  <si>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</si>
  <si>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</si>
  <si>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</si>
  <si>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</si>
  <si>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</si>
  <si>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</si>
  <si>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</si>
  <si>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</si>
  <si>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</si>
  <si>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</si>
  <si>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</si>
  <si>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</si>
  <si>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</si>
  <si>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</si>
  <si>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</si>
  <si>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</si>
  <si>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</si>
  <si>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</si>
  <si>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</si>
  <si>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</si>
  <si>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</si>
  <si>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</si>
  <si>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</si>
  <si>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</si>
  <si>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</si>
  <si>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</si>
  <si>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</si>
  <si>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</si>
  <si>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</si>
  <si>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</si>
  <si>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</si>
  <si>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</si>
  <si>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</si>
  <si>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</si>
  <si>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</si>
  <si>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</si>
  <si>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</si>
  <si>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</si>
  <si>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</si>
  <si>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</si>
  <si>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</si>
  <si>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</si>
  <si>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</si>
  <si>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</si>
  <si>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</si>
  <si>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</si>
  <si>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</si>
  <si>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</si>
  <si>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</si>
  <si>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</si>
  <si>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</si>
  <si>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</si>
  <si>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</si>
  <si>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</si>
  <si>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</si>
  <si>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</si>
  <si>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</si>
  <si>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</si>
  <si>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</si>
  <si>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</si>
  <si>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</si>
  <si>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</si>
  <si>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</si>
  <si>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</si>
  <si>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</si>
  <si>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</si>
  <si>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</si>
  <si>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</si>
  <si>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</si>
  <si>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</si>
  <si>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</si>
  <si>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</si>
  <si>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</si>
  <si>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</si>
  <si>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</si>
  <si>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</si>
  <si>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</si>
  <si>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</si>
  <si>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</si>
  <si>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</si>
  <si>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</si>
  <si>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</si>
  <si>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</si>
  <si>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</si>
  <si>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</si>
  <si>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</si>
  <si>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</si>
  <si>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расчет показателей</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</si>
  <si>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</si>
  <si>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</si>
  <si>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</si>
  <si>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</si>
  <si>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</si>
  <si>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</si>
  <si>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</si>
  <si>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</si>
  <si>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</si>
  <si>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</si>
  <si>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</si>
  <si>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</si>
  <si>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</si>
  <si>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</si>
  <si>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</si>
  <si>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</si>
  <si>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</si>
  <si>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</si>
  <si>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</si>
  <si>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</si>
  <si>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</si>
  <si>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</si>
  <si>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</si>
  <si>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</si>
  <si>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</si>
  <si>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</si>
  <si>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</si>
  <si>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</si>
  <si>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</si>
  <si>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</si>
  <si>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</si>
  <si>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</si>
  <si>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</si>
  <si>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</si>
  <si>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</si>
  <si>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</si>
  <si>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</si>
  <si>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</si>
  <si>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</si>
  <si>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</si>
  <si>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</si>
  <si>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</si>
  <si>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</si>
  <si>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</si>
  <si>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</si>
  <si>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</si>
  <si>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</si>
  <si>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</si>
  <si>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</si>
  <si>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</si>
  <si>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</si>
  <si>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</si>
  <si>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</si>
  <si>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</si>
  <si>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</si>
  <si>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</si>
  <si>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</si>
  <si>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</si>
  <si>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</si>
  <si>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</si>
  <si>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</si>
  <si>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</si>
  <si>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</si>
  <si>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</si>
  <si>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</si>
  <si>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</si>
  <si>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</si>
  <si>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</si>
  <si>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</si>
  <si>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</si>
  <si>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</si>
  <si>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</si>
  <si>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</si>
  <si>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</si>
  <si>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</si>
  <si>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</si>
  <si>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</si>
  <si>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</si>
  <si>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</si>
  <si>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</si>
  <si>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</si>
  <si>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</si>
  <si>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</si>
  <si>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</si>
  <si>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</si>
  <si>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</si>
  <si>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</si>
  <si>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</si>
  <si>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</si>
  <si>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</si>
  <si>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</si>
  <si>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</si>
  <si>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</si>
  <si>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</si>
  <si>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</si>
  <si>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</si>
  <si>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</si>
  <si>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</si>
  <si>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</si>
  <si>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</si>
  <si>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</si>
  <si>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</si>
  <si>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</si>
  <si>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</si>
  <si>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</si>
  <si>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</si>
  <si>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</si>
  <si>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</si>
  <si>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</si>
  <si>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</si>
  <si>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</si>
  <si>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</si>
  <si>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</si>
  <si>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</si>
  <si>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</si>
  <si>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</si>
  <si>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</si>
  <si>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</si>
  <si>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</si>
  <si>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</si>
  <si>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</si>
  <si>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</si>
  <si>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</si>
  <si>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</si>
  <si>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</si>
  <si>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</si>
  <si>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</si>
  <si>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</si>
  <si>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</si>
  <si>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</si>
  <si>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</si>
  <si>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</si>
  <si>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</si>
  <si>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</si>
  <si>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</si>
  <si>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</si>
  <si>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</si>
  <si>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</si>
  <si>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</si>
  <si>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</si>
  <si>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</si>
  <si>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</si>
  <si>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</si>
  <si>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</si>
  <si>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</si>
  <si>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</si>
  <si>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</si>
  <si>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</si>
  <si>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</si>
  <si>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</si>
  <si>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</si>
  <si>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</si>
  <si>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</si>
  <si>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</si>
  <si>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</si>
  <si>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</si>
  <si>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</si>
  <si>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</si>
  <si>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</si>
  <si>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</si>
  <si>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</si>
  <si>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</si>
  <si>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</si>
  <si>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</si>
  <si>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</si>
  <si>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</si>
  <si>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</si>
  <si>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</si>
  <si>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</si>
  <si>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</si>
  <si>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</si>
  <si>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</si>
  <si>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</si>
  <si>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</si>
  <si>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</si>
  <si>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</si>
  <si>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</si>
  <si>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</si>
  <si>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</si>
  <si>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</si>
  <si>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</si>
  <si>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</si>
  <si>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</si>
  <si>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</si>
  <si>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</si>
  <si>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</si>
  <si>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</si>
  <si>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</si>
  <si>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</si>
  <si>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</si>
  <si>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</si>
  <si>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</si>
  <si>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</si>
  <si>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</si>
  <si>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</si>
  <si>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</si>
  <si>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</si>
  <si>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</si>
  <si>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</si>
  <si>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</si>
  <si>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</si>
  <si>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</si>
  <si>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</si>
  <si>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</si>
  <si>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</si>
  <si>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</si>
  <si>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</si>
  <si>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</si>
  <si>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</si>
  <si>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</si>
  <si>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</si>
  <si>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</si>
  <si>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</si>
  <si>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</si>
  <si>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</si>
  <si>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</si>
  <si>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</si>
  <si>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</si>
  <si>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</si>
  <si>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</si>
  <si>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</si>
  <si>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</si>
  <si>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</si>
  <si>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</si>
  <si>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</si>
  <si>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</si>
  <si>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</si>
  <si>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</si>
  <si>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</si>
  <si>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</si>
  <si>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</si>
  <si>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</si>
  <si>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</si>
  <si>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</si>
  <si>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</si>
  <si>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</si>
  <si>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</si>
  <si>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</si>
  <si>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</si>
  <si>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</si>
  <si>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</si>
  <si>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</si>
  <si>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</si>
  <si>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</si>
  <si>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</si>
  <si>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</si>
  <si>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</si>
  <si>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</si>
  <si>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</si>
  <si>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</si>
  <si>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</si>
  <si>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</si>
  <si>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</si>
  <si>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</si>
  <si>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</si>
  <si>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</si>
  <si>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</si>
  <si>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Июль</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</si>
  <si>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</si>
  <si>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</si>
  <si>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</si>
  <si>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</si>
  <si>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</si>
  <si>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</si>
  <si>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</si>
  <si>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</si>
  <si>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</si>
  <si>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</si>
  <si>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</si>
  <si>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</si>
  <si>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</si>
  <si>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</si>
  <si>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</si>
  <si>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</si>
  <si>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</si>
  <si>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</si>
  <si>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</si>
  <si>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</si>
  <si>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</si>
  <si>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</si>
  <si>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</si>
  <si>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</si>
  <si>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</si>
  <si>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</si>
  <si>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</si>
  <si>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</si>
  <si>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</si>
  <si>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</si>
  <si>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</si>
  <si>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</si>
  <si>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</si>
  <si>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</si>
  <si>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</si>
  <si>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</si>
  <si>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</si>
  <si>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</si>
  <si>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</si>
  <si>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</si>
  <si>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</si>
  <si>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</si>
  <si>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</si>
  <si>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</si>
  <si>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</si>
  <si>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</si>
  <si>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</si>
  <si>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</si>
  <si>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</si>
  <si>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</si>
  <si>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</si>
  <si>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</si>
  <si>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</si>
  <si>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</si>
  <si>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</si>
  <si>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</si>
  <si>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</si>
  <si>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</si>
  <si>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</si>
  <si>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</si>
  <si>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</si>
  <si>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</si>
  <si>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</si>
  <si>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</si>
  <si>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</si>
  <si>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</si>
  <si>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</si>
  <si>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</si>
  <si>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</si>
  <si>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</si>
  <si>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</si>
  <si>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</si>
  <si>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</si>
  <si>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</si>
  <si>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</si>
  <si>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</si>
  <si>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</si>
  <si>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</si>
  <si>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</si>
  <si>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</si>
  <si>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</si>
  <si>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</si>
  <si>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</si>
  <si>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</si>
  <si>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</si>
  <si>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</si>
  <si>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</si>
  <si>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</si>
  <si>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</si>
  <si>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</si>
  <si>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</si>
  <si>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</si>
  <si>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</si>
  <si>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</si>
  <si>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</si>
  <si>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</si>
  <si>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</si>
  <si>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</si>
  <si>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</si>
  <si>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</si>
  <si>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</si>
  <si>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</si>
  <si>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</si>
  <si>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</si>
  <si>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</si>
  <si>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</si>
  <si>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</si>
  <si>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</si>
  <si>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</si>
  <si>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</si>
  <si>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</si>
  <si>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</si>
  <si>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</si>
  <si>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</si>
  <si>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</si>
  <si>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</si>
  <si>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</si>
  <si>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</si>
  <si>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</si>
  <si>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</si>
  <si>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</si>
  <si>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</si>
  <si>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</si>
  <si>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</si>
  <si>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</si>
  <si>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</si>
  <si>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</si>
  <si>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</si>
  <si>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</si>
  <si>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</si>
  <si>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</si>
  <si>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</si>
  <si>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</si>
  <si>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</si>
  <si>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</si>
  <si>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</si>
  <si>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</si>
  <si>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</si>
  <si>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</si>
  <si>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</si>
  <si>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</si>
  <si>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</si>
  <si>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</si>
  <si>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</si>
  <si>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</si>
  <si>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</si>
  <si>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</si>
  <si>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</si>
  <si>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</si>
  <si>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</si>
  <si>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</si>
  <si>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</si>
  <si>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</si>
  <si>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</si>
  <si>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</si>
  <si>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</si>
  <si>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</si>
  <si>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</si>
  <si>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</si>
  <si>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</si>
  <si>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</si>
  <si>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</si>
  <si>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</si>
  <si>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</si>
  <si>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</si>
  <si>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</si>
  <si>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</si>
  <si>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</si>
  <si>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</si>
  <si>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</si>
  <si>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</si>
  <si>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</si>
  <si>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</si>
  <si>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</si>
  <si>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</si>
  <si>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</si>
  <si>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</si>
  <si>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</si>
  <si>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</si>
  <si>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</si>
  <si>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</si>
  <si>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</si>
  <si>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</si>
  <si>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</si>
  <si>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</si>
  <si>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</si>
  <si>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</si>
  <si>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</si>
  <si>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</si>
  <si>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</si>
  <si>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</si>
  <si>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</si>
  <si>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</si>
  <si>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</si>
  <si>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</si>
  <si>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</si>
  <si>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</si>
  <si>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</si>
  <si>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</si>
  <si>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</si>
  <si>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</si>
  <si>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</si>
  <si>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</si>
  <si>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</si>
  <si>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</si>
  <si>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</si>
  <si>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</si>
  <si>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</si>
  <si>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</si>
  <si>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</si>
  <si>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</si>
  <si>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</si>
  <si>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</si>
  <si>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</si>
  <si>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</si>
  <si>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</si>
  <si>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</si>
  <si>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</si>
  <si>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</si>
  <si>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</si>
  <si>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</si>
  <si>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</si>
  <si>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</si>
  <si>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</si>
  <si>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</si>
  <si>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</si>
  <si>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</si>
  <si>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</si>
  <si>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</si>
  <si>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</si>
  <si>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</si>
  <si>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</si>
  <si>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</si>
  <si>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</si>
  <si>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</si>
  <si>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</si>
  <si>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</si>
  <si>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</si>
  <si>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</si>
  <si>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</si>
  <si>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</si>
  <si>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</si>
  <si>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</si>
  <si>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</si>
  <si>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</si>
  <si>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</si>
  <si>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</si>
  <si>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</si>
  <si>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</si>
  <si>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</si>
  <si>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</si>
  <si>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</si>
  <si>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</si>
  <si>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</si>
  <si>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</si>
  <si>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</si>
  <si>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</si>
  <si>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</si>
  <si>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</si>
  <si>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</si>
  <si>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</si>
  <si>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</si>
  <si>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</si>
  <si>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</si>
  <si>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</si>
  <si>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</si>
  <si>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</si>
  <si>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</si>
  <si>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</si>
  <si>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</si>
  <si>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</si>
  <si>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</si>
  <si>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</si>
  <si>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</si>
  <si>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</si>
  <si>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</si>
  <si>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</si>
  <si>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</si>
  <si>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</si>
  <si>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</si>
  <si>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</si>
  <si>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</si>
  <si>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</si>
  <si>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</si>
  <si>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</si>
  <si>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</si>
  <si>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</si>
  <si>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</si>
  <si>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</si>
  <si>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</si>
  <si>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</si>
  <si>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</si>
  <si>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</si>
  <si>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</si>
  <si>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</si>
  <si>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</si>
  <si>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</si>
  <si>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</si>
  <si>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</si>
  <si>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</si>
  <si>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</si>
  <si>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</si>
  <si>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</si>
  <si>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</si>
  <si>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</si>
  <si>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</si>
  <si>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</si>
  <si>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</si>
  <si>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</si>
  <si>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</si>
  <si>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</si>
  <si>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</si>
  <si>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</si>
  <si>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</si>
  <si>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</si>
  <si>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</si>
  <si>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</si>
  <si>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</si>
  <si>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</si>
  <si>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</si>
  <si>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</si>
  <si>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</si>
  <si>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</si>
  <si>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</si>
  <si>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</si>
  <si>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</si>
  <si>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</si>
  <si>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</si>
  <si>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</si>
  <si>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</si>
  <si>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</si>
  <si>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</si>
  <si>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</si>
  <si>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</si>
  <si>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</si>
  <si>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</si>
  <si>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</si>
  <si>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</si>
  <si>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</si>
  <si>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</si>
  <si>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</si>
  <si>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</si>
  <si>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</si>
  <si>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</si>
  <si>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</si>
  <si>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</si>
  <si>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</si>
  <si>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</si>
  <si>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</si>
  <si>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</si>
  <si>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</si>
  <si>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</si>
  <si>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</si>
  <si>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</si>
  <si>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</si>
  <si>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</si>
  <si>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</si>
  <si>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</si>
  <si>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</si>
  <si>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</si>
  <si>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</si>
  <si>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</si>
  <si>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</si>
  <si>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</si>
  <si>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</si>
  <si>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</si>
  <si>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</si>
  <si>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</si>
  <si>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</si>
  <si>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</si>
  <si>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</si>
  <si>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</si>
  <si>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</si>
  <si>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</si>
  <si>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</si>
  <si>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</si>
  <si>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</si>
  <si>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</si>
  <si>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</si>
  <si>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</si>
  <si>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</si>
  <si>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</si>
  <si>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</si>
  <si>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</si>
  <si>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</si>
  <si>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</si>
  <si>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</si>
  <si>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</si>
  <si>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</si>
  <si>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</si>
  <si>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</si>
  <si>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</si>
  <si>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</si>
  <si>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</si>
  <si>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</si>
  <si>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</si>
  <si>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</si>
  <si>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</si>
  <si>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</si>
  <si>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</si>
  <si>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</si>
  <si>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</si>
  <si>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</si>
  <si>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</si>
  <si>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</si>
  <si>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</si>
  <si>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</si>
  <si>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</si>
  <si>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</si>
  <si>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</si>
  <si>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</si>
  <si>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</si>
  <si>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</si>
  <si>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</si>
  <si>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</si>
  <si>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</si>
  <si>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</si>
  <si>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</si>
  <si>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</si>
  <si>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</si>
  <si>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</si>
  <si>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</si>
  <si>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</si>
  <si>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</si>
  <si>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</si>
  <si>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</si>
  <si>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</si>
  <si>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</si>
  <si>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</si>
  <si>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</si>
  <si>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</si>
  <si>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</si>
  <si>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</si>
  <si>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</si>
  <si>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</si>
  <si>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</si>
  <si>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</si>
  <si>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</si>
  <si>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</si>
  <si>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</si>
  <si>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</si>
  <si>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</si>
  <si>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</si>
  <si>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</si>
  <si>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</si>
  <si>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</si>
  <si>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</si>
  <si>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</si>
  <si>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</si>
  <si>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</si>
  <si>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</si>
  <si>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</si>
  <si>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</si>
  <si>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</si>
  <si>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</si>
  <si>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</si>
  <si>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</si>
  <si>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</si>
  <si>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</si>
  <si>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</si>
  <si>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</si>
  <si>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</si>
  <si>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</si>
  <si>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</si>
  <si>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</si>
  <si>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</si>
  <si>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</si>
  <si>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</si>
  <si>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</si>
  <si>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</si>
  <si>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</si>
  <si>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</si>
  <si>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</si>
  <si>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</si>
  <si>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</si>
  <si>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</si>
  <si>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</si>
  <si>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</si>
  <si>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</si>
  <si>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</si>
  <si>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</si>
  <si>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</si>
  <si>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</si>
  <si>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</si>
  <si>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</si>
  <si>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</si>
  <si>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</si>
  <si>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</si>
  <si>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</si>
  <si>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</si>
  <si>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</si>
  <si>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</si>
  <si>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</si>
  <si>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</si>
  <si>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</si>
  <si>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</si>
  <si>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</si>
  <si>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</si>
  <si>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</si>
  <si>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</si>
  <si>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</si>
  <si>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</si>
  <si>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</si>
  <si>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</si>
  <si>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</si>
  <si>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</si>
  <si>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</si>
  <si>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</si>
  <si>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</si>
  <si>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</si>
  <si>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</si>
  <si>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</si>
  <si>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</si>
  <si>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</si>
  <si>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</si>
  <si>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</si>
  <si>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</si>
  <si>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</si>
  <si>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</si>
  <si>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</si>
  <si>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</si>
  <si>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</si>
  <si>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</si>
  <si>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</si>
  <si>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</si>
  <si>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</si>
  <si>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</si>
  <si>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</si>
  <si>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</si>
  <si>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</si>
  <si>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</si>
  <si>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</si>
  <si>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</si>
  <si>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</si>
  <si>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</si>
  <si>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</si>
  <si>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</si>
  <si>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</si>
  <si>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</si>
  <si>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</si>
  <si>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</si>
  <si>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</si>
  <si>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</si>
  <si>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</si>
  <si>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</si>
  <si>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</si>
  <si>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</si>
  <si>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</si>
  <si>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</si>
  <si>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</si>
  <si>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</si>
  <si>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</si>
  <si>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</si>
  <si>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</si>
  <si>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</si>
  <si>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</si>
  <si>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</si>
  <si>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</si>
  <si>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</si>
  <si>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</si>
  <si>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</si>
  <si>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</si>
  <si>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</si>
  <si>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</si>
  <si>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</si>
  <si>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</si>
  <si>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</si>
  <si>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</si>
  <si>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</si>
  <si>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</si>
  <si>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</si>
  <si>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</si>
  <si>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</si>
  <si>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</si>
  <si>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</si>
  <si>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</si>
  <si>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</si>
  <si>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</si>
  <si>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</si>
  <si>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</si>
  <si>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</si>
  <si>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</si>
  <si>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</si>
  <si>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</si>
  <si>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</si>
  <si>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</si>
  <si>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</si>
  <si>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</si>
  <si>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</si>
  <si>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</si>
  <si>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</si>
  <si>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</si>
  <si>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</si>
  <si>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</si>
  <si>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</si>
  <si>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</si>
  <si>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</si>
  <si>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</si>
  <si>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</si>
  <si>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</si>
  <si>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</si>
  <si>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</si>
  <si>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</si>
  <si>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</si>
  <si>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</si>
  <si>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</si>
  <si>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</si>
  <si>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</si>
  <si>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</si>
  <si>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</si>
  <si>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</si>
  <si>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</si>
  <si>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</si>
  <si>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</si>
  <si>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</si>
  <si>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</si>
  <si>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</si>
  <si>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</si>
  <si>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</si>
  <si>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</si>
  <si>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</si>
  <si>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</si>
  <si>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</si>
  <si>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</si>
  <si>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</si>
  <si>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</si>
  <si>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</si>
  <si>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</si>
  <si>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</si>
  <si>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</si>
  <si>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</si>
  <si>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</si>
  <si>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</si>
  <si>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</si>
  <si>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</si>
  <si>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</si>
  <si>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</si>
  <si>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</si>
  <si>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</si>
  <si>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</si>
  <si>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</si>
  <si>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</si>
  <si>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</si>
  <si>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</si>
  <si>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</si>
  <si>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</si>
  <si>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</si>
  <si>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</si>
  <si>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</si>
  <si>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</si>
  <si>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</si>
  <si>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</si>
  <si>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</si>
  <si>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</si>
  <si>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</si>
  <si>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</si>
  <si>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</si>
  <si>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</si>
  <si>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</si>
  <si>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</si>
  <si>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</si>
  <si>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</si>
  <si>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</si>
  <si>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</si>
  <si>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</si>
  <si>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</si>
  <si>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</si>
  <si>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</si>
  <si>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</si>
  <si>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</si>
  <si>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</si>
  <si>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</si>
  <si>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</si>
  <si>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</si>
  <si>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</si>
  <si>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</si>
  <si>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</si>
  <si>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</si>
  <si>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</si>
  <si>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</si>
  <si>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</si>
  <si>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</si>
  <si>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</si>
  <si>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</si>
  <si>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</si>
  <si>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</si>
  <si>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</si>
  <si>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</si>
  <si>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</si>
  <si>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</si>
  <si>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</si>
  <si>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</si>
  <si>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</si>
  <si>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</si>
  <si>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</si>
  <si>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</si>
  <si>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</si>
  <si>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</si>
  <si>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</si>
  <si>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</si>
  <si>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</si>
  <si>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</si>
  <si>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</si>
  <si>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</si>
  <si>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</si>
  <si>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</si>
  <si>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</si>
  <si>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</si>
  <si>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</si>
  <si>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</si>
  <si>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</si>
  <si>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</si>
  <si>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</si>
  <si>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</si>
  <si>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</si>
  <si>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</si>
  <si>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</si>
  <si>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</si>
  <si>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</si>
  <si>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</si>
  <si>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</si>
  <si>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</si>
  <si>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</si>
  <si>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</si>
  <si>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</si>
  <si>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</si>
  <si>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</si>
  <si>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</si>
  <si>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</si>
  <si>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</si>
  <si>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</si>
  <si>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</si>
  <si>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</si>
  <si>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</si>
  <si>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</si>
  <si>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</si>
  <si>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</si>
  <si>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</si>
  <si>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</si>
  <si>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</si>
  <si>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</si>
  <si>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</si>
  <si>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</si>
  <si>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</si>
  <si>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</si>
  <si>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</si>
  <si>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</si>
  <si>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</si>
  <si>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</si>
  <si>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</si>
  <si>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</si>
  <si>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</si>
  <si>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</si>
  <si>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</si>
  <si>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</si>
  <si>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</si>
  <si>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</si>
  <si>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</si>
  <si>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</si>
  <si>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</si>
  <si>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</si>
  <si>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</si>
  <si>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</si>
  <si>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</si>
  <si>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</si>
  <si>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</si>
  <si>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</si>
  <si>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</si>
  <si>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</si>
  <si>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</si>
  <si>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</si>
  <si>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</si>
  <si>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</si>
  <si>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</si>
  <si>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</si>
  <si>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</si>
  <si>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</si>
  <si>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</si>
  <si>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</si>
  <si>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</si>
  <si>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</si>
  <si>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</si>
  <si>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</si>
  <si>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</si>
  <si>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</si>
  <si>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</si>
  <si>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</si>
  <si>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</si>
  <si>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</si>
  <si>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</si>
  <si>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</si>
  <si>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</si>
  <si>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</si>
  <si>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</si>
  <si>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</si>
  <si>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</si>
  <si>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</si>
  <si>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</si>
  <si>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</si>
  <si>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</si>
  <si>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</si>
  <si>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</si>
  <si>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</si>
  <si>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</si>
  <si>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</si>
  <si>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</si>
  <si>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</si>
  <si>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</si>
  <si>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</si>
  <si>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</si>
  <si>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</si>
  <si>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</si>
  <si>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</si>
  <si>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</si>
  <si>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</si>
  <si>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</si>
  <si>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</si>
  <si>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</si>
  <si>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</si>
  <si>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</si>
  <si>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</si>
  <si>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</si>
  <si>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</si>
  <si>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</si>
  <si>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</si>
  <si>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</si>
  <si>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</si>
  <si>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</si>
  <si>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</si>
  <si>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</si>
  <si>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</si>
  <si>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</si>
  <si>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</si>
  <si>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</si>
  <si>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</si>
  <si>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</si>
  <si>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</si>
  <si>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</si>
  <si>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</si>
  <si>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</si>
  <si>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</si>
  <si>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</si>
  <si>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</si>
  <si>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</si>
  <si>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</si>
  <si>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</si>
  <si>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</si>
  <si>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</si>
  <si>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</si>
  <si>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</si>
  <si>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</si>
  <si>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</si>
  <si>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</si>
  <si>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</si>
  <si>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</si>
  <si>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</si>
  <si>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</si>
  <si>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</si>
  <si>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</si>
  <si>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</si>
  <si>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</si>
  <si>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</si>
  <si>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</si>
  <si>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</si>
  <si>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</si>
  <si>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</si>
  <si>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</si>
  <si>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</si>
  <si>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</si>
  <si>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</si>
  <si>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</si>
  <si>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</si>
  <si>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</si>
  <si>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</si>
  <si>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</si>
  <si>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</si>
  <si>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</si>
  <si>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</si>
  <si>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</si>
  <si>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</si>
  <si>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</si>
  <si>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</si>
  <si>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</si>
  <si>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</si>
  <si>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</si>
  <si>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</si>
  <si>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</si>
  <si>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</si>
  <si>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</si>
  <si>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</si>
  <si>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</si>
  <si>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</si>
  <si>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</si>
  <si>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</si>
  <si>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</si>
  <si>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</si>
  <si>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</si>
  <si>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</si>
  <si>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</si>
  <si>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</si>
  <si>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</si>
  <si>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</si>
  <si>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</si>
  <si>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</si>
  <si>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</si>
  <si>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</si>
  <si>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</si>
  <si>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</si>
  <si>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</si>
  <si>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</si>
  <si>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</si>
  <si>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</si>
  <si>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</si>
  <si>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</si>
  <si>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</si>
  <si>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</si>
  <si>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</si>
  <si>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</si>
  <si>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</si>
  <si>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</si>
  <si>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</si>
  <si>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</si>
  <si>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</si>
  <si>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</si>
  <si>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</si>
  <si>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</si>
  <si>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</si>
  <si>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</si>
  <si>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</si>
  <si>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</si>
  <si>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</si>
  <si>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</si>
  <si>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</si>
  <si>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</si>
  <si>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</si>
  <si>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</si>
  <si>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</si>
  <si>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</si>
  <si>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</si>
  <si>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</si>
  <si>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</si>
  <si>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26467239</t>
  </si>
  <si>
    <t>ГОУТП "ТЭКОС" г. Мурманск</t>
  </si>
  <si>
    <t>5192110028</t>
  </si>
  <si>
    <t>06-12-2017 00:00:00</t>
  </si>
  <si>
    <t>26373348</t>
  </si>
  <si>
    <t>ЗАО "Беломорская нефтебаза"</t>
  </si>
  <si>
    <t>5102020534</t>
  </si>
  <si>
    <t>510201001</t>
  </si>
  <si>
    <t>13-08-1998 00:00:00</t>
  </si>
  <si>
    <t>26-07-2021 00:00:00</t>
  </si>
  <si>
    <t>КОМИТЕТ ПО ТАРИФНОМУ РЕГУЛИРОВАНИЮ МУРМАНСКОЙ ОБЛАСТИ</t>
  </si>
  <si>
    <t>5190127403</t>
  </si>
  <si>
    <t>26631728</t>
  </si>
  <si>
    <t>Кольское ГОУ ДРСП</t>
  </si>
  <si>
    <t>5105020148</t>
  </si>
  <si>
    <t>23-11-2022 00:00:00</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</si>
  <si>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</si>
  <si>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</si>
  <si>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</si>
  <si>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</si>
  <si>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</si>
  <si>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</si>
  <si>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</si>
  <si>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</si>
  <si>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</si>
  <si>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</si>
  <si>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</si>
  <si>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</si>
  <si>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</si>
  <si>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</si>
  <si>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</si>
  <si>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26382472</t>
  </si>
  <si>
    <t>ММУП "Городское благоустройство"</t>
  </si>
  <si>
    <t>5107910717</t>
  </si>
  <si>
    <t>01-09-2006 00:00:00</t>
  </si>
  <si>
    <t>31-12-2011 00:00:00</t>
  </si>
  <si>
    <t>31225444</t>
  </si>
  <si>
    <t>МУП "ВКХ"</t>
  </si>
  <si>
    <t>5102003828</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</si>
  <si>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</si>
  <si>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</si>
  <si>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</si>
  <si>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</si>
  <si>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</si>
  <si>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</si>
  <si>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</si>
  <si>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</si>
  <si>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</si>
  <si>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</si>
  <si>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</si>
  <si>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</si>
  <si>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</si>
  <si>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</si>
  <si>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</si>
  <si>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</si>
  <si>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27979479</t>
  </si>
  <si>
    <t>МУП "ЖКХ Ура-Губа"</t>
  </si>
  <si>
    <t>5105032175</t>
  </si>
  <si>
    <t>24-12-2019 00:00:00</t>
  </si>
  <si>
    <t>26382468</t>
  </si>
  <si>
    <t>МУП "Жилэкс "Зеленоборский"</t>
  </si>
  <si>
    <t>5102050627</t>
  </si>
  <si>
    <t>28459754</t>
  </si>
  <si>
    <t>МУП "Кильдинстрой"</t>
  </si>
  <si>
    <t>5105032707</t>
  </si>
  <si>
    <t>26319744</t>
  </si>
  <si>
    <t>МУП "Кировская городская электрическая сеть"</t>
  </si>
  <si>
    <t>5103021241</t>
  </si>
  <si>
    <t>26631469</t>
  </si>
  <si>
    <t>МУП "Кола-Мастер"</t>
  </si>
  <si>
    <t>5105031781</t>
  </si>
  <si>
    <t>10-03-2005 00:00:00</t>
  </si>
  <si>
    <t>27-01-2017 00:00:00</t>
  </si>
  <si>
    <t>28875370</t>
  </si>
  <si>
    <t>МУП "Лавна"</t>
  </si>
  <si>
    <t>5105032753</t>
  </si>
  <si>
    <t>27579061</t>
  </si>
  <si>
    <t>МУП "МУК"</t>
  </si>
  <si>
    <t>5190932618</t>
  </si>
  <si>
    <t>26467391</t>
  </si>
  <si>
    <t>МУП "Наш дом"</t>
  </si>
  <si>
    <t>5105032288</t>
  </si>
  <si>
    <t>01-04-2008 00:00:00</t>
  </si>
  <si>
    <t>21-06-2019 00:00:00</t>
  </si>
  <si>
    <t>26467328</t>
  </si>
  <si>
    <t>МУП "Недвижимость Кандалакши"</t>
  </si>
  <si>
    <t>5102002253</t>
  </si>
  <si>
    <t>28007575</t>
  </si>
  <si>
    <t>МУП "ОТС"</t>
  </si>
  <si>
    <t>5108900550</t>
  </si>
  <si>
    <t>30-09-2020 00:00:00</t>
  </si>
  <si>
    <t>30866806</t>
  </si>
  <si>
    <t>МУП "Ресурс"</t>
  </si>
  <si>
    <t>5102003507</t>
  </si>
  <si>
    <t>08-12-2016 00:00:00</t>
  </si>
  <si>
    <t>26526674</t>
  </si>
  <si>
    <t>МУП "Сервис"</t>
  </si>
  <si>
    <t>5111002718</t>
  </si>
  <si>
    <t>511101001</t>
  </si>
  <si>
    <t>27556184</t>
  </si>
  <si>
    <t>МУП "ТУЖКК"</t>
  </si>
  <si>
    <t>5105032418</t>
  </si>
  <si>
    <t>18-07-2022 00:00:00</t>
  </si>
  <si>
    <t>28877344</t>
  </si>
  <si>
    <t>МУП "ТеплоЭнергоРесурс" п. Пушной</t>
  </si>
  <si>
    <t>5105096997</t>
  </si>
  <si>
    <t>19-01-2018 00:00:00</t>
  </si>
  <si>
    <t>27061909</t>
  </si>
  <si>
    <t>МУП "Тепловые сети МО г. Заполярный"</t>
  </si>
  <si>
    <t>5109004718</t>
  </si>
  <si>
    <t>26646677</t>
  </si>
  <si>
    <t>МУП "УМС-СЕЗ  г.п. Молочный"</t>
  </si>
  <si>
    <t>5105030940</t>
  </si>
  <si>
    <t>26792466</t>
  </si>
  <si>
    <t>МУП "Услуги ЖКХ"</t>
  </si>
  <si>
    <t>5102050867</t>
  </si>
  <si>
    <t>03-11-2017 00:00:00</t>
  </si>
  <si>
    <t>30918265</t>
  </si>
  <si>
    <t>МУП "Хибины"</t>
  </si>
  <si>
    <t>5103301030</t>
  </si>
  <si>
    <t>29649087</t>
  </si>
  <si>
    <t>МУП "Энергия"</t>
  </si>
  <si>
    <t>5117000065</t>
  </si>
  <si>
    <t>511701001</t>
  </si>
  <si>
    <t>26467461</t>
  </si>
  <si>
    <t>МУП "Энергоцех"</t>
  </si>
  <si>
    <t>5109004002</t>
  </si>
  <si>
    <t>18-07-2018 00:00:00</t>
  </si>
  <si>
    <t>31432376</t>
  </si>
  <si>
    <t>МУП «РККР»</t>
  </si>
  <si>
    <t>5105013486</t>
  </si>
  <si>
    <t>29-05-2020 00:00:00</t>
  </si>
  <si>
    <t>30866847</t>
  </si>
  <si>
    <t>МУП ЖКХ "Вымпел"</t>
  </si>
  <si>
    <t>5102000619</t>
  </si>
  <si>
    <t>11-11-2015 00:00:00</t>
  </si>
  <si>
    <t>28039999</t>
  </si>
  <si>
    <t>МУП ЖКХ "Доверие"</t>
  </si>
  <si>
    <t>5102050923</t>
  </si>
  <si>
    <t>01-01-2017 00:00:00</t>
  </si>
  <si>
    <t>30946864</t>
  </si>
  <si>
    <t>МУП ЖКХ "Теплоснаб"</t>
  </si>
  <si>
    <t>5102003592</t>
  </si>
  <si>
    <t>31-12-2019 00:00:00</t>
  </si>
  <si>
    <t>26587979</t>
  </si>
  <si>
    <t>МУП ЖКХ МО город Оленегорск с подведомственной территорией</t>
  </si>
  <si>
    <t>5108998665</t>
  </si>
  <si>
    <t>28-02-2018 00:00:00</t>
  </si>
  <si>
    <t>26467449</t>
  </si>
  <si>
    <t>МУП Жилищно-эксплуатационная контора</t>
  </si>
  <si>
    <t>5109000939</t>
  </si>
  <si>
    <t>31-07-2017 00:00:00</t>
  </si>
  <si>
    <t>31041154</t>
  </si>
  <si>
    <t>МУП Кольского района "УЖКХ"</t>
  </si>
  <si>
    <t>5105032739</t>
  </si>
  <si>
    <t>28014449</t>
  </si>
  <si>
    <t>МУП г. Полярные Зори "ТС-Африканда"</t>
  </si>
  <si>
    <t>5117300534</t>
  </si>
  <si>
    <t>24-08-2012 00:00:00</t>
  </si>
  <si>
    <t>21-05-2019 00:00:00</t>
  </si>
  <si>
    <t>28459731</t>
  </si>
  <si>
    <t>МУП с.п. Тулома "УЖКХ"</t>
  </si>
  <si>
    <t>5105200020</t>
  </si>
  <si>
    <t>29-08-2022 00:00:00</t>
  </si>
  <si>
    <t>26382470</t>
  </si>
  <si>
    <t>МУПП "ЖКХ" ЗАТО Видяево</t>
  </si>
  <si>
    <t>5105031630</t>
  </si>
  <si>
    <t>511001001</t>
  </si>
  <si>
    <t>31-10-2002 00:00:00</t>
  </si>
  <si>
    <t>26529713</t>
  </si>
  <si>
    <t>ОАО "МЭК"</t>
  </si>
  <si>
    <t>5190187770</t>
  </si>
  <si>
    <t>31-12-2017 00:00:00</t>
  </si>
  <si>
    <t>26628224</t>
  </si>
  <si>
    <t>ОАО "РЖД" (Дирекция по тепловодоснабжению - СП Октябрьской железной дороги - филиала ОАО "РЖД")</t>
  </si>
  <si>
    <t>7708503727</t>
  </si>
  <si>
    <t>780445002</t>
  </si>
  <si>
    <t>26-11-2010 00:00:00</t>
  </si>
  <si>
    <t>01-04-2011 00:00:00</t>
  </si>
  <si>
    <t>26814895</t>
  </si>
  <si>
    <t>ОАО "РЖД" (Октябрьская дирекция по тепловодоснабжению - СП Центральной дирекции по тепловодоснабжению - филиала ОАО "РЖД")</t>
  </si>
  <si>
    <t>780445015</t>
  </si>
  <si>
    <t>26373368</t>
  </si>
  <si>
    <t>ОАО "Тепловодоснабжение"</t>
  </si>
  <si>
    <t>5117070087</t>
  </si>
  <si>
    <t>28-03-2005 00:00:00</t>
  </si>
  <si>
    <t>23-10-2013 00:00:00</t>
  </si>
  <si>
    <t>28014300</t>
  </si>
  <si>
    <t>ООО "АтомТеплоЭлектроСеть"</t>
  </si>
  <si>
    <t>7705923730</t>
  </si>
  <si>
    <t>511743001</t>
  </si>
  <si>
    <t>30845082</t>
  </si>
  <si>
    <t>ООО "Верхнетуломская тепловая компания"</t>
  </si>
  <si>
    <t>5105010439</t>
  </si>
  <si>
    <t>27671426</t>
  </si>
  <si>
    <t>ООО "Енский"</t>
  </si>
  <si>
    <t>5104909960</t>
  </si>
  <si>
    <t>19-05-2021 00:00:00</t>
  </si>
  <si>
    <t>26890949</t>
  </si>
  <si>
    <t>ООО "Кольская тепловая компания"</t>
  </si>
  <si>
    <t>5105094485</t>
  </si>
  <si>
    <t>17-06-2011 00:00:00</t>
  </si>
  <si>
    <t>28-12-2017 00:00:00</t>
  </si>
  <si>
    <t>28543824</t>
  </si>
  <si>
    <t>ООО "КомСервис"</t>
  </si>
  <si>
    <t>5102046564</t>
  </si>
  <si>
    <t>29-10-2018 00:00:00</t>
  </si>
  <si>
    <t>26771846</t>
  </si>
  <si>
    <t>ООО "Коммунальная хозяйство"</t>
  </si>
  <si>
    <t>5102045401</t>
  </si>
  <si>
    <t>31-12-2016 00:00:00</t>
  </si>
  <si>
    <t>26467463</t>
  </si>
  <si>
    <t>ООО "Леноблтеплоснаб"</t>
  </si>
  <si>
    <t>4717009131</t>
  </si>
  <si>
    <t>471701001</t>
  </si>
  <si>
    <t>30832102</t>
  </si>
  <si>
    <t>ООО "Мурмашинская тепловая компания"</t>
  </si>
  <si>
    <t>5105010446</t>
  </si>
  <si>
    <t>28499961</t>
  </si>
  <si>
    <t>ООО "НЭСК"</t>
  </si>
  <si>
    <t>5102046476</t>
  </si>
  <si>
    <t>28821982</t>
  </si>
  <si>
    <t>ООО "Производственная компания "ЭлТехМонтаж"</t>
  </si>
  <si>
    <t>5190113190</t>
  </si>
  <si>
    <t>04-06-2021 00:00:00</t>
  </si>
  <si>
    <t>28499647</t>
  </si>
  <si>
    <t>ООО "ПромВоенСтрой"</t>
  </si>
  <si>
    <t>7842410730</t>
  </si>
  <si>
    <t>784101001</t>
  </si>
  <si>
    <t>19-06-2009 00:00:00</t>
  </si>
  <si>
    <t>26646602</t>
  </si>
  <si>
    <t>ООО "ПрофСервис"</t>
  </si>
  <si>
    <t>5102045472</t>
  </si>
  <si>
    <t>14-07-2011 00:00:00</t>
  </si>
  <si>
    <t>20-12-2020 00:00:00</t>
  </si>
  <si>
    <t>28981214</t>
  </si>
  <si>
    <t>ООО "СМАРТ ЭНЕРГО"</t>
  </si>
  <si>
    <t>5190048543</t>
  </si>
  <si>
    <t>26-06-2023 00:00:00</t>
  </si>
  <si>
    <t>30408038</t>
  </si>
  <si>
    <t>ООО "СТК"</t>
  </si>
  <si>
    <t>5102000545</t>
  </si>
  <si>
    <t>27570497</t>
  </si>
  <si>
    <t>ООО "СевТехноСервис"</t>
  </si>
  <si>
    <t>5106801049</t>
  </si>
  <si>
    <t>28817762</t>
  </si>
  <si>
    <t>ООО "ТК Африканда"</t>
  </si>
  <si>
    <t>5117066154</t>
  </si>
  <si>
    <t>17-09-2018 00:00:00</t>
  </si>
  <si>
    <t>28821458</t>
  </si>
  <si>
    <t>ООО "Тепло"</t>
  </si>
  <si>
    <t>5102046758</t>
  </si>
  <si>
    <t>29-07-2014 00:00:00</t>
  </si>
  <si>
    <t>27-08-2018 00:00:00</t>
  </si>
  <si>
    <t>26373352</t>
  </si>
  <si>
    <t>ООО "Тепловодоканал"</t>
  </si>
  <si>
    <t>5104908766</t>
  </si>
  <si>
    <t>21-03-2003 00:00:00</t>
  </si>
  <si>
    <t>26467393</t>
  </si>
  <si>
    <t>ООО "Тепловой энергетический комплекс"</t>
  </si>
  <si>
    <t>5108901225</t>
  </si>
  <si>
    <t>28878308</t>
  </si>
  <si>
    <t>ООО "Теплонорд"</t>
  </si>
  <si>
    <t>7841501872</t>
  </si>
  <si>
    <t>31639144</t>
  </si>
  <si>
    <t>ООО "Теплосетевая компания СЕВЕР"</t>
  </si>
  <si>
    <t>1001349036</t>
  </si>
  <si>
    <t>100101001</t>
  </si>
  <si>
    <t>28-08-2020 00:00:00</t>
  </si>
  <si>
    <t>26467356</t>
  </si>
  <si>
    <t>ООО "Теплосетьсервис-Ревда"</t>
  </si>
  <si>
    <t>5106800951</t>
  </si>
  <si>
    <t>15-08-2017 00:00:00</t>
  </si>
  <si>
    <t>26467459</t>
  </si>
  <si>
    <t>ООО "Теплострой плюс"</t>
  </si>
  <si>
    <t>7842322869</t>
  </si>
  <si>
    <t>784201001</t>
  </si>
  <si>
    <t>26373353</t>
  </si>
  <si>
    <t>ООО "Териберский коммунальный комплекс"</t>
  </si>
  <si>
    <t>5105009465</t>
  </si>
  <si>
    <t>26373349</t>
  </si>
  <si>
    <t>ООО "Центр коммунальных технологий"</t>
  </si>
  <si>
    <t>5102043620</t>
  </si>
  <si>
    <t>26-09-2005 00:00:00</t>
  </si>
  <si>
    <t>12-12-2017 00:00:00</t>
  </si>
  <si>
    <t>27675133</t>
  </si>
  <si>
    <t>ООО "Эко-сервис"</t>
  </si>
  <si>
    <t>5105093820</t>
  </si>
  <si>
    <t>27-07-2020 00:00:00</t>
  </si>
  <si>
    <t>27556369</t>
  </si>
  <si>
    <t>ООО "Энергия"</t>
  </si>
  <si>
    <t>5107913531</t>
  </si>
  <si>
    <t>18-12-2017 00:00:00</t>
  </si>
  <si>
    <t>31538928</t>
  </si>
  <si>
    <t>ООО «ТЭС»</t>
  </si>
  <si>
    <t>5108004000</t>
  </si>
  <si>
    <t>30946839</t>
  </si>
  <si>
    <t>ООО «Тепло Людям. Умба»</t>
  </si>
  <si>
    <t>5190070965</t>
  </si>
  <si>
    <t>28137402</t>
  </si>
  <si>
    <t>ООО «Управляющая Компания «Спецремстрой»</t>
  </si>
  <si>
    <t>5105094615</t>
  </si>
  <si>
    <t>01-01-2013 00:00:00</t>
  </si>
  <si>
    <t>07-08-2017 00:00:00</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</si>
  <si>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</si>
  <si>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</si>
  <si>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</si>
  <si>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</si>
  <si>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</si>
  <si>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</si>
  <si>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</si>
  <si>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</si>
  <si>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</si>
  <si>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</si>
  <si>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</si>
  <si>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26449407</t>
  </si>
  <si>
    <t>Свечинский районный телекоммуникационный узел (РТУ) Кировского филиала ОАО "Волгателеком"</t>
  </si>
  <si>
    <t>5260901817</t>
  </si>
  <si>
    <t>432832002</t>
  </si>
  <si>
    <t>24-06-2011 00:00:00</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</si>
  <si>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</si>
  <si>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</si>
  <si>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</si>
  <si>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</si>
  <si>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</si>
  <si>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</si>
  <si>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</si>
  <si>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</si>
  <si>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</si>
  <si>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</si>
  <si>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</si>
  <si>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</si>
  <si>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</si>
  <si>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26467416</t>
  </si>
  <si>
    <t>УМТЭП г. Снежногорска ЗАТО Александровск</t>
  </si>
  <si>
    <t>5112100186</t>
  </si>
  <si>
    <t>511201001</t>
  </si>
  <si>
    <t>20-04-2020 00:00:00</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</si>
  <si>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</si>
  <si>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</si>
  <si>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</si>
  <si>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</si>
  <si>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</si>
  <si>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</si>
  <si>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</si>
  <si>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</si>
  <si>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</si>
  <si>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</si>
  <si>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</si>
  <si>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</si>
  <si>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</si>
  <si>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</si>
  <si>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28891843</t>
  </si>
  <si>
    <t>филиал ОАО "РЭУ" "Мурманский"</t>
  </si>
  <si>
    <t>511043001</t>
  </si>
  <si>
    <t>01-01-2015 00:00:00</t>
  </si>
  <si>
    <t>01-01-2018 00:00:00</t>
  </si>
  <si>
    <t>26373356</t>
  </si>
  <si>
    <t>МБУ "СЕЗ с.п. Тулома"</t>
  </si>
  <si>
    <t>5105032231</t>
  </si>
  <si>
    <t>25-05-2007 00:00:00</t>
  </si>
  <si>
    <t>25-06-2019 00:00:00</t>
  </si>
  <si>
    <t>26467656</t>
  </si>
  <si>
    <t>АО "Апатитыводоканал"</t>
  </si>
  <si>
    <t>5101360351</t>
  </si>
  <si>
    <t>12-04-2007 00:00:00</t>
  </si>
  <si>
    <t>30378034</t>
  </si>
  <si>
    <t>АО "Апатитыпромвод"</t>
  </si>
  <si>
    <t>5103300580</t>
  </si>
  <si>
    <t>09-04-2015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</si>
  <si>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</si>
  <si>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</si>
  <si>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</si>
  <si>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</si>
  <si>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</si>
  <si>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</si>
  <si>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</si>
  <si>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</si>
  <si>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</si>
  <si>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</si>
  <si>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</si>
  <si>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</si>
  <si>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</si>
  <si>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</si>
  <si>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</si>
  <si>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26373362</t>
  </si>
  <si>
    <t>ГОУП "Оленегорскводоканал"</t>
  </si>
  <si>
    <t>5108100031</t>
  </si>
  <si>
    <t>15-11-2002 00:00:00</t>
  </si>
  <si>
    <t>18-03-2021 00:00:00</t>
  </si>
  <si>
    <t>27562734</t>
  </si>
  <si>
    <t>МАУ "СЕЗ м.о. г.п. Печенга"</t>
  </si>
  <si>
    <t>5109003552</t>
  </si>
  <si>
    <t>28-10-2010 00:00:00</t>
  </si>
  <si>
    <t>15-12-2022 00:00:00</t>
  </si>
  <si>
    <t>26646662</t>
  </si>
  <si>
    <t>МБУ "СЕЗ МО п. Кильдинстрой"</t>
  </si>
  <si>
    <t>5105032224</t>
  </si>
  <si>
    <t>26646686</t>
  </si>
  <si>
    <t>МБУ "СЕЗ МО с.п. Ура-Губа"</t>
  </si>
  <si>
    <t>5105032249</t>
  </si>
  <si>
    <t>31-08-2012 00:00:00</t>
  </si>
  <si>
    <t>26467662</t>
  </si>
  <si>
    <t>МУП "Городские сети"</t>
  </si>
  <si>
    <t>5109003680</t>
  </si>
  <si>
    <t>03-12-2007 00:00:00</t>
  </si>
  <si>
    <t>01-03-2020 00:00:00</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</si>
  <si>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</si>
  <si>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</si>
  <si>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</si>
  <si>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</si>
  <si>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</si>
  <si>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</si>
  <si>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</si>
  <si>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</si>
  <si>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</si>
  <si>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</si>
  <si>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</si>
  <si>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</si>
  <si>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</si>
  <si>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</si>
  <si>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</si>
  <si>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30873087</t>
  </si>
  <si>
    <t>МУП "ТВС"</t>
  </si>
  <si>
    <t>5102000827</t>
  </si>
  <si>
    <t>31-05-2022 00:00:00</t>
  </si>
  <si>
    <t>26467375</t>
  </si>
  <si>
    <t>МУП "Териберское жилищно-коммунальное предприятие"</t>
  </si>
  <si>
    <t>5105032055</t>
  </si>
  <si>
    <t>11-09-2017 00:00:00</t>
  </si>
  <si>
    <t>27050541</t>
  </si>
  <si>
    <t>МУП "Услуга" г.п. Никель Печенгского района</t>
  </si>
  <si>
    <t>5109400045</t>
  </si>
  <si>
    <t>19-06-2020 00:00:00</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</si>
  <si>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</si>
  <si>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</si>
  <si>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</si>
  <si>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</si>
  <si>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</si>
  <si>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</si>
  <si>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</si>
  <si>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</si>
  <si>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26319736</t>
  </si>
  <si>
    <t>ОАО "Мурманский судоремонтный завод морского флота"</t>
  </si>
  <si>
    <t>5190400109</t>
  </si>
  <si>
    <t>08-03-1997 00:00:00</t>
  </si>
  <si>
    <t>27716928</t>
  </si>
  <si>
    <t>ОАО "Славянка"</t>
  </si>
  <si>
    <t>7702707386</t>
  </si>
  <si>
    <t>10-02-2021 00:00:00</t>
  </si>
  <si>
    <t>31596508</t>
  </si>
  <si>
    <t>ООО "Арно-Трейд"</t>
  </si>
  <si>
    <t>5112091319</t>
  </si>
  <si>
    <t>04-12-2007 00:00:00</t>
  </si>
  <si>
    <t>26467681</t>
  </si>
  <si>
    <t>ООО "Водоканал-сервис"</t>
  </si>
  <si>
    <t>5106800849</t>
  </si>
  <si>
    <t>30-10-2007 00:00:00</t>
  </si>
  <si>
    <t>28877705</t>
  </si>
  <si>
    <t>ООО "КВК-2"</t>
  </si>
  <si>
    <t>5102046807</t>
  </si>
  <si>
    <t>060801001</t>
  </si>
  <si>
    <t>28877719</t>
  </si>
  <si>
    <t>ООО "КВК-3"</t>
  </si>
  <si>
    <t>5102046814</t>
  </si>
  <si>
    <t>28877746</t>
  </si>
  <si>
    <t>ООО "КВК-5"</t>
  </si>
  <si>
    <t>5102047896</t>
  </si>
  <si>
    <t>31-12-2020 00:00:00</t>
  </si>
  <si>
    <t>26380532</t>
  </si>
  <si>
    <t>ООО "Калган"</t>
  </si>
  <si>
    <t>5112700218</t>
  </si>
  <si>
    <t>29-01-2002 00:00:00</t>
  </si>
  <si>
    <t>28040331</t>
  </si>
  <si>
    <t>ООО "Кола-Недвижимость"</t>
  </si>
  <si>
    <t>5105094510</t>
  </si>
  <si>
    <t>16-01-2019 00:00:00</t>
  </si>
  <si>
    <t>28040411</t>
  </si>
  <si>
    <t>ООО "Мурманская судоверфь - Инженерные сети"</t>
  </si>
  <si>
    <t>5190934686</t>
  </si>
  <si>
    <t>26-03-2018 00:00:00</t>
  </si>
  <si>
    <t>31388474</t>
  </si>
  <si>
    <t>ООО "Север"</t>
  </si>
  <si>
    <t>5190080650</t>
  </si>
  <si>
    <t>12-07-2019 00:00:00</t>
  </si>
  <si>
    <t>31041188</t>
  </si>
  <si>
    <t>ООО "Север-Сити"</t>
  </si>
  <si>
    <t>5110005025</t>
  </si>
  <si>
    <t>31243294</t>
  </si>
  <si>
    <t>ООО "СпецНордПром"</t>
  </si>
  <si>
    <t>7842108495</t>
  </si>
  <si>
    <t>19-05-2016 00:00:00</t>
  </si>
  <si>
    <t>30359766</t>
  </si>
  <si>
    <t>ООО "Спецводоснаб"</t>
  </si>
  <si>
    <t>5190023563</t>
  </si>
  <si>
    <t>19-08-2013 00:00:00</t>
  </si>
  <si>
    <t>20-10-2017 00:00:00</t>
  </si>
  <si>
    <t>28873420</t>
  </si>
  <si>
    <t>ООО «КВК-4»</t>
  </si>
  <si>
    <t>5102046878</t>
  </si>
  <si>
    <t>30873097</t>
  </si>
  <si>
    <t>ООО «ПТФ «Мурманская»</t>
  </si>
  <si>
    <t>5105092390</t>
  </si>
  <si>
    <t>28149603</t>
  </si>
  <si>
    <t>ООО УК "Авангард"</t>
  </si>
  <si>
    <t>5102045715</t>
  </si>
  <si>
    <t>26373364</t>
  </si>
  <si>
    <t>Печенгская КЭЧ</t>
  </si>
  <si>
    <t>5109900175</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</si>
  <si>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</si>
  <si>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</si>
  <si>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</si>
  <si>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</si>
  <si>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</si>
  <si>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</si>
  <si>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</si>
  <si>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</si>
  <si>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</si>
  <si>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</si>
  <si>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</si>
  <si>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</si>
  <si>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</si>
  <si>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</si>
  <si>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</si>
  <si>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</si>
  <si>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</si>
  <si>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</si>
  <si>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30957685</t>
  </si>
  <si>
    <t>МУП ЖКХ "База механизации"</t>
  </si>
  <si>
    <t>5113908473</t>
  </si>
  <si>
    <t>22-01-2021 00:00:00</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</si>
  <si>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</si>
  <si>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</si>
  <si>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</si>
  <si>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</si>
  <si>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</si>
  <si>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</si>
  <si>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</si>
  <si>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</si>
  <si>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</si>
  <si>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</si>
  <si>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</si>
  <si>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</si>
  <si>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</si>
  <si>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</si>
  <si>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</si>
  <si>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</si>
  <si>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</si>
  <si>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</si>
  <si>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27728724</t>
  </si>
  <si>
    <t>ООО "Чистый город"</t>
  </si>
  <si>
    <t>5101100025</t>
  </si>
  <si>
    <t>25-12-2018 00:00:00</t>
  </si>
  <si>
    <t>31233365</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</si>
  <si>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</si>
  <si>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</si>
  <si>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</si>
  <si>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</si>
  <si>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</si>
  <si>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</si>
  <si>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</si>
  <si>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</si>
  <si>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</si>
  <si>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</si>
  <si>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</si>
  <si>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</si>
  <si>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</si>
  <si>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</si>
  <si>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</si>
  <si>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</si>
  <si>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</si>
  <si>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</si>
  <si>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</si>
  <si>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</si>
  <si>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</si>
  <si>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</si>
  <si>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</si>
  <si>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</si>
  <si>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</si>
  <si>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</si>
  <si>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</si>
  <si>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</si>
  <si>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</si>
  <si>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</si>
  <si>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</si>
  <si>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</si>
  <si>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</si>
  <si>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</si>
  <si>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</si>
  <si>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</si>
  <si>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</si>
  <si>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</si>
  <si>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</si>
  <si>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</si>
  <si>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</si>
  <si>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</si>
  <si>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</si>
  <si>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</si>
  <si>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</si>
  <si>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</si>
  <si>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</si>
  <si>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</si>
  <si>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</si>
  <si>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</si>
  <si>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</si>
  <si>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</si>
  <si>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</si>
  <si>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</si>
  <si>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</si>
  <si>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</si>
  <si>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</si>
  <si>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</si>
  <si>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</si>
  <si>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</si>
  <si>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</si>
  <si>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</si>
  <si>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</si>
  <si>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</si>
  <si>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</si>
  <si>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</si>
  <si>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</si>
  <si>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</si>
  <si>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</si>
  <si>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</si>
  <si>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</si>
  <si>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</si>
  <si>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</si>
  <si>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</si>
  <si>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</si>
  <si>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</si>
  <si>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</si>
  <si>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</si>
  <si>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</si>
  <si>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</si>
  <si>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</si>
  <si>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</si>
  <si>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</si>
  <si>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</si>
  <si>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</si>
  <si>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</si>
  <si>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</si>
  <si>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</si>
  <si>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</si>
  <si>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</si>
  <si>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</si>
  <si>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</si>
  <si>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</si>
  <si>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</si>
  <si>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</si>
  <si>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</si>
  <si>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</si>
  <si>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</si>
  <si>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</si>
  <si>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</si>
  <si>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6310576192</t>
  </si>
  <si>
    <t>TER_NAME</t>
  </si>
  <si>
    <t>Территория 1</t>
  </si>
  <si>
    <t>ID_TARIFF_NAME</t>
  </si>
  <si>
    <t>TARIFF_NAME</t>
  </si>
  <si>
    <t>VED_NAME</t>
  </si>
  <si>
    <t>4190064</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</si>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</sst>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7" formatCode="000000"/>
    <numFmt numFmtId="168" formatCode="#,##0.000"/>
    <numFmt numFmtId="169" formatCode="#,##0.0000"/>
    <numFmt numFmtId="170" formatCode="dd\.mm\.yyyy"/>
    <numFmt numFmtId="171" formatCode="h:mm;@"/>
    <numFmt numFmtId="173" formatCode="_-* #,##0.00[$€-1]_-;\-* #,##0.00[$€-1]_-;_-* &quot;-&quot;??[$€-1]_-"/>
    <numFmt numFmtId="174" formatCode="#,##0.0"/>
  </numFmts>
  <fonts count="119">
    <font>
      <sz val="9"/>
      <color rgb="FF000000"/>
      <name val="Tahoma"/>
    </font>
    <font>
      <sz val="11"/>
      <color theme="1"/>
      <name val="Calibri"/>
      <scheme val="minor"/>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name val="Franklin Gothic Medium"/>
    </font>
    <font>
      <b/>
      <sz val="9"/>
      <name val="Tahoma"/>
    </font>
    <font>
      <sz val="11"/>
      <color rgb="FF000000"/>
      <name val="Calibri"/>
    </font>
    <font>
      <sz val="10"/>
      <name val="Arial Cyr"/>
    </font>
    <font>
      <sz val="9"/>
      <color rgb="FF00FF00"/>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808080"/>
      </left>
      <right style="thin">
        <color rgb="FF808080"/>
      </right>
      <top style="thin">
        <color rgb="FF808080"/>
      </top>
      <bottom style="thin">
        <color rgb="FF808080"/>
      </bottom>
      <diagonal/>
    </border>
    <border>
      <left style="thick">
        <color rgb="FF808080"/>
      </left>
      <right style="thick">
        <color rgb="FF808080"/>
      </right>
      <top style="thick">
        <color rgb="FF808080"/>
      </top>
      <bottom style="thick">
        <color rgb="FF808080"/>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33">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0" fontId="5" fillId="0" borderId="1" applyFill="0">
      <alignment vertical="top"/>
      <protection locked="0"/>
    </xf>
    <xf numFmtId="174" fontId="6" fillId="6" borderId="0" applyBorder="0">
      <protection locked="0"/>
    </xf>
    <xf numFmtId="0" fontId="7" fillId="0" borderId="0" applyFill="0" applyBorder="0">
      <alignment vertical="center"/>
    </xf>
    <xf numFmtId="168" fontId="6" fillId="6" borderId="0" applyBorder="0">
      <protection locked="0"/>
    </xf>
    <xf numFmtId="169" fontId="6" fillId="6" borderId="0" applyBorder="0">
      <protection locked="0"/>
    </xf>
    <xf numFmtId="0" fontId="8" fillId="0" borderId="0" applyFill="0" applyBorder="0">
      <alignment vertical="top"/>
    </xf>
    <xf numFmtId="0" fontId="5" fillId="7" borderId="1">
      <alignment vertical="top"/>
    </xf>
    <xf numFmtId="0" fontId="9" fillId="0" borderId="0" applyFill="0" applyBorder="0"/>
    <xf numFmtId="0" fontId="10" fillId="8" borderId="2">
      <alignment horizontal="center" vertical="center"/>
    </xf>
    <xf numFmtId="0" fontId="11" fillId="5" borderId="1">
      <alignment vertical="top"/>
    </xf>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horizontal="center" vertical="center" wrapText="1"/>
    </xf>
    <xf numFmtId="0" fontId="18" fillId="0" borderId="0" applyFill="0" applyBorder="0">
      <alignment horizontal="center" vertical="center" wrapText="1"/>
    </xf>
    <xf numFmtId="4" fontId="6" fillId="6" borderId="0" applyBorder="0">
      <alignment horizontal="right"/>
    </xf>
    <xf numFmtId="49" fontId="6" fillId="0" borderId="0" applyFill="0" applyBorder="0">
      <alignment vertical="top"/>
    </xf>
    <xf numFmtId="0" fontId="1" fillId="0" borderId="0" applyFill="0" applyBorder="0"/>
    <xf numFmtId="0" fontId="19" fillId="0" borderId="0" applyFill="0" applyBorder="0"/>
    <xf numFmtId="49" fontId="113" fillId="0" borderId="0" applyFill="0" applyBorder="0">
      <alignment vertical="top"/>
    </xf>
    <xf numFmtId="0" fontId="20" fillId="0" borderId="0" applyFill="0" applyBorder="0"/>
    <xf numFmtId="0" fontId="21" fillId="9" borderId="0" applyBorder="0">
      <alignment vertical="top"/>
    </xf>
    <xf numFmtId="49" fontId="21" fillId="0" borderId="0" applyFill="0" applyBorder="0">
      <alignment vertical="top"/>
    </xf>
    <xf numFmtId="0" fontId="5" fillId="0" borderId="0" applyFill="0" applyBorder="0">
      <alignment wrapText="1"/>
    </xf>
    <xf numFmtId="49" fontId="6" fillId="9" borderId="0" applyBorder="0">
      <alignment vertical="top"/>
    </xf>
    <xf numFmtId="49" fontId="113" fillId="10" borderId="0" applyBorder="0">
      <alignment vertical="top"/>
    </xf>
  </cellStyleXfs>
  <cellXfs count="1547">
    <xf numFmtId="49" fontId="0" fillId="0" borderId="0" xfId="0">
      <alignment vertical="top"/>
    </xf>
    <xf numFmtId="0" fontId="18" fillId="0" borderId="0" xfId="21">
      <alignment horizontal="center" vertical="center" wrapText="1"/>
    </xf>
    <xf numFmtId="49" fontId="113" fillId="0" borderId="0" xfId="26">
      <alignment vertical="top"/>
    </xf>
    <xf numFmtId="49" fontId="113" fillId="10" borderId="0" xfId="32">
      <alignment vertical="top"/>
    </xf>
    <xf numFmtId="0" fontId="20" fillId="0" borderId="0" xfId="0" applyNumberFormat="1" applyFont="1" applyAlignment="1"/>
    <xf numFmtId="0" fontId="6" fillId="0" borderId="0" xfId="0" applyNumberFormat="1" applyFont="1" applyAlignment="1">
      <alignment vertical="top" wrapText="1"/>
    </xf>
    <xf numFmtId="49" fontId="6" fillId="11" borderId="3" xfId="0" applyFont="1" applyFill="1" applyBorder="1" applyAlignment="1">
      <alignment horizontal="center" vertical="top"/>
    </xf>
    <xf numFmtId="0" fontId="6" fillId="0" borderId="0" xfId="0" applyNumberFormat="1" applyFont="1" applyAlignment="1"/>
    <xf numFmtId="0" fontId="6" fillId="10" borderId="0" xfId="0" applyNumberFormat="1" applyFont="1" applyFill="1" applyAlignment="1"/>
    <xf numFmtId="0" fontId="22" fillId="0" borderId="0" xfId="0" applyNumberFormat="1" applyFont="1" applyAlignment="1">
      <alignment vertical="center" wrapText="1"/>
    </xf>
    <xf numFmtId="0" fontId="23" fillId="0" borderId="0" xfId="0" applyNumberFormat="1" applyFont="1" applyAlignment="1">
      <alignment vertical="center" wrapText="1"/>
    </xf>
    <xf numFmtId="0" fontId="6" fillId="10" borderId="0" xfId="0" applyNumberFormat="1" applyFont="1" applyFill="1" applyAlignment="1">
      <alignment vertical="center" wrapText="1"/>
    </xf>
    <xf numFmtId="0" fontId="6" fillId="0" borderId="0" xfId="0" applyNumberFormat="1" applyFont="1" applyAlignment="1">
      <alignment vertical="center" wrapText="1"/>
    </xf>
    <xf numFmtId="0" fontId="24" fillId="10" borderId="0" xfId="0" applyNumberFormat="1" applyFont="1" applyFill="1" applyAlignment="1">
      <alignment vertical="center" wrapText="1"/>
    </xf>
    <xf numFmtId="0" fontId="6" fillId="10" borderId="0" xfId="0" applyNumberFormat="1" applyFont="1" applyFill="1" applyAlignment="1">
      <alignment horizontal="right" vertical="center" wrapText="1" indent="1"/>
    </xf>
    <xf numFmtId="0" fontId="6" fillId="10" borderId="0" xfId="0" applyNumberFormat="1" applyFont="1" applyFill="1" applyAlignment="1">
      <alignment horizontal="center" vertical="center" wrapText="1"/>
    </xf>
    <xf numFmtId="0" fontId="23" fillId="0" borderId="0" xfId="0" applyNumberFormat="1" applyFont="1" applyAlignment="1">
      <alignment horizontal="center" vertical="center" wrapText="1"/>
    </xf>
    <xf numFmtId="0" fontId="25" fillId="10" borderId="0" xfId="0" applyNumberFormat="1" applyFont="1" applyFill="1" applyAlignment="1">
      <alignment horizontal="center" vertical="center" wrapText="1"/>
    </xf>
    <xf numFmtId="0" fontId="6" fillId="0" borderId="0" xfId="0" applyNumberFormat="1" applyFont="1" applyAlignment="1">
      <alignment vertical="center"/>
    </xf>
    <xf numFmtId="49" fontId="6" fillId="10" borderId="0" xfId="0" applyFont="1" applyFill="1" applyAlignment="1">
      <alignment horizontal="right" vertical="center" wrapText="1" indent="1"/>
    </xf>
    <xf numFmtId="49" fontId="24" fillId="10" borderId="0" xfId="0" applyFont="1" applyFill="1" applyAlignment="1">
      <alignment horizontal="center" vertical="center" wrapText="1"/>
    </xf>
    <xf numFmtId="0" fontId="6" fillId="10" borderId="0" xfId="0" applyNumberFormat="1" applyFont="1" applyFill="1" applyAlignment="1">
      <alignment horizontal="right" vertical="center" wrapText="1"/>
    </xf>
    <xf numFmtId="49" fontId="0" fillId="10" borderId="0" xfId="0" applyFill="1" applyAlignment="1">
      <alignment horizontal="right" vertical="center" wrapText="1" indent="1"/>
    </xf>
    <xf numFmtId="49" fontId="26" fillId="10" borderId="0" xfId="0" applyFont="1" applyFill="1" applyAlignment="1">
      <alignment horizontal="center" vertical="center" wrapText="1"/>
    </xf>
    <xf numFmtId="0" fontId="27" fillId="10" borderId="0" xfId="0" applyNumberFormat="1" applyFont="1" applyFill="1" applyAlignment="1">
      <alignment horizontal="center" vertical="center" wrapText="1"/>
    </xf>
    <xf numFmtId="0" fontId="27" fillId="0" borderId="0" xfId="0" applyNumberFormat="1" applyFont="1" applyAlignment="1">
      <alignment horizontal="center" vertical="center"/>
    </xf>
    <xf numFmtId="0" fontId="27" fillId="10" borderId="0" xfId="0" applyNumberFormat="1" applyFont="1" applyFill="1" applyAlignment="1">
      <alignment horizontal="center" vertical="center"/>
    </xf>
    <xf numFmtId="49" fontId="28" fillId="0" borderId="4" xfId="0" applyFont="1" applyBorder="1" applyAlignment="1">
      <alignment vertical="top" wrapText="1"/>
    </xf>
    <xf numFmtId="0" fontId="0" fillId="0" borderId="4" xfId="0" applyNumberFormat="1" applyBorder="1" applyAlignment="1">
      <alignment vertical="top" wrapText="1"/>
    </xf>
    <xf numFmtId="0" fontId="29" fillId="10" borderId="0" xfId="0" applyNumberFormat="1" applyFont="1" applyFill="1" applyAlignment="1">
      <alignment vertical="center" wrapText="1"/>
    </xf>
    <xf numFmtId="0" fontId="29" fillId="0" borderId="0" xfId="0" applyNumberFormat="1" applyFont="1" applyAlignment="1">
      <alignment vertical="center" wrapText="1"/>
    </xf>
    <xf numFmtId="0" fontId="22" fillId="0" borderId="0" xfId="0" applyNumberFormat="1" applyFont="1" applyAlignment="1">
      <alignment horizontal="left" vertical="center" wrapText="1"/>
    </xf>
    <xf numFmtId="49" fontId="22" fillId="0" borderId="0" xfId="0" applyFont="1" applyAlignment="1">
      <alignment horizontal="left" vertical="center" wrapText="1"/>
    </xf>
    <xf numFmtId="0" fontId="0" fillId="0" borderId="0" xfId="0" applyNumberFormat="1">
      <alignment vertical="top"/>
    </xf>
    <xf numFmtId="49" fontId="6" fillId="0" borderId="0" xfId="0" applyFont="1" applyAlignment="1">
      <alignment vertical="center" wrapText="1"/>
    </xf>
    <xf numFmtId="49" fontId="6" fillId="0" borderId="0" xfId="0" applyFont="1">
      <alignment vertical="top"/>
    </xf>
    <xf numFmtId="0" fontId="0" fillId="0" borderId="0" xfId="0" applyNumberFormat="1" applyAlignment="1">
      <alignment vertical="center"/>
    </xf>
    <xf numFmtId="0" fontId="6" fillId="10" borderId="5" xfId="0" applyNumberFormat="1" applyFont="1" applyFill="1" applyBorder="1" applyAlignment="1">
      <alignment horizontal="center" vertical="center" wrapText="1"/>
    </xf>
    <xf numFmtId="49" fontId="6" fillId="12" borderId="5" xfId="0" applyFont="1" applyFill="1" applyBorder="1" applyAlignment="1" applyProtection="1">
      <alignment horizontal="left" vertical="center" wrapText="1"/>
      <protection locked="0"/>
    </xf>
    <xf numFmtId="49" fontId="30" fillId="13" borderId="6" xfId="0" applyFont="1" applyFill="1" applyBorder="1" applyAlignment="1">
      <alignment horizontal="left" vertical="center"/>
    </xf>
    <xf numFmtId="0" fontId="0" fillId="0" borderId="5" xfId="0" applyNumberFormat="1" applyBorder="1" applyAlignment="1">
      <alignment horizontal="center" vertical="center" wrapText="1"/>
    </xf>
    <xf numFmtId="0" fontId="6" fillId="13" borderId="7" xfId="0" applyNumberFormat="1" applyFont="1" applyFill="1" applyBorder="1" applyAlignment="1">
      <alignment vertical="center" wrapText="1"/>
    </xf>
    <xf numFmtId="0" fontId="6" fillId="0" borderId="5" xfId="0" applyNumberFormat="1" applyFont="1" applyBorder="1" applyAlignment="1">
      <alignment horizontal="center" vertical="center" wrapText="1"/>
    </xf>
    <xf numFmtId="0" fontId="31" fillId="0" borderId="0" xfId="0" applyNumberFormat="1" applyFont="1" applyAlignment="1">
      <alignment vertical="center"/>
    </xf>
    <xf numFmtId="49" fontId="6" fillId="0" borderId="5" xfId="0" applyFont="1" applyBorder="1" applyAlignment="1">
      <alignment horizontal="center" vertical="center" wrapText="1"/>
    </xf>
    <xf numFmtId="0" fontId="6" fillId="10" borderId="5" xfId="0" applyNumberFormat="1" applyFont="1" applyFill="1" applyBorder="1" applyAlignment="1">
      <alignment horizontal="center" vertical="center"/>
    </xf>
    <xf numFmtId="0" fontId="32" fillId="0" borderId="0" xfId="0" applyNumberFormat="1" applyFont="1" applyAlignment="1">
      <alignment vertical="center" wrapText="1"/>
    </xf>
    <xf numFmtId="49" fontId="22" fillId="0" borderId="0" xfId="0" applyFont="1">
      <alignment vertical="top"/>
    </xf>
    <xf numFmtId="49" fontId="27" fillId="0" borderId="0" xfId="0" applyFont="1" applyAlignment="1">
      <alignment horizontal="center" vertical="center"/>
    </xf>
    <xf numFmtId="0" fontId="33" fillId="10" borderId="0" xfId="0" applyNumberFormat="1" applyFont="1" applyFill="1" applyAlignment="1">
      <alignment horizontal="center" vertical="center" wrapText="1"/>
    </xf>
    <xf numFmtId="0" fontId="22" fillId="10" borderId="0" xfId="0" applyNumberFormat="1" applyFont="1" applyFill="1" applyAlignment="1"/>
    <xf numFmtId="49" fontId="27" fillId="0" borderId="0" xfId="0" applyFont="1" applyAlignment="1">
      <alignment horizontal="center" vertical="center" wrapText="1"/>
    </xf>
    <xf numFmtId="49" fontId="34" fillId="13" borderId="8" xfId="0" applyFont="1" applyFill="1" applyBorder="1" applyAlignment="1">
      <alignment horizontal="center" vertical="top"/>
    </xf>
    <xf numFmtId="49" fontId="30" fillId="13" borderId="8" xfId="0" applyFont="1" applyFill="1" applyBorder="1" applyAlignment="1">
      <alignment horizontal="left" vertical="center"/>
    </xf>
    <xf numFmtId="49" fontId="6" fillId="0" borderId="0" xfId="0" applyFont="1" applyAlignment="1">
      <alignment horizontal="center" vertical="top"/>
    </xf>
    <xf numFmtId="0" fontId="0" fillId="0" borderId="0" xfId="0" applyNumberFormat="1" applyAlignment="1">
      <alignment horizontal="center" vertical="center" wrapText="1"/>
    </xf>
    <xf numFmtId="49" fontId="6" fillId="0" borderId="0" xfId="0" applyFont="1" applyAlignment="1">
      <alignment horizontal="center" vertical="center" wrapText="1"/>
    </xf>
    <xf numFmtId="49" fontId="35" fillId="0" borderId="0" xfId="0" applyFont="1" applyAlignment="1">
      <alignment horizontal="right" vertical="top"/>
    </xf>
    <xf numFmtId="49" fontId="35" fillId="0" borderId="0" xfId="0" applyFont="1">
      <alignment vertical="top"/>
    </xf>
    <xf numFmtId="0" fontId="6" fillId="0" borderId="0" xfId="0" applyNumberFormat="1" applyFont="1" applyAlignment="1">
      <alignment horizontal="center" vertical="center" wrapText="1"/>
    </xf>
    <xf numFmtId="0" fontId="5" fillId="0" borderId="0" xfId="0" applyNumberFormat="1" applyFont="1" applyAlignment="1">
      <alignment vertical="center" wrapText="1"/>
    </xf>
    <xf numFmtId="49" fontId="6" fillId="0" borderId="9" xfId="0" applyFont="1" applyBorder="1">
      <alignment vertical="top"/>
    </xf>
    <xf numFmtId="49" fontId="36" fillId="0" borderId="0" xfId="0" applyFont="1">
      <alignment vertical="top"/>
    </xf>
    <xf numFmtId="0" fontId="36" fillId="0" borderId="0" xfId="0" applyNumberFormat="1" applyFont="1" applyAlignment="1">
      <alignment vertical="center" wrapText="1"/>
    </xf>
    <xf numFmtId="49" fontId="0" fillId="10" borderId="5" xfId="0" applyFill="1" applyBorder="1" applyAlignment="1">
      <alignment horizontal="center" vertical="center" wrapText="1"/>
    </xf>
    <xf numFmtId="49" fontId="6" fillId="0" borderId="5" xfId="0" applyFont="1" applyBorder="1" applyAlignment="1">
      <alignment horizontal="left" vertical="center" wrapText="1"/>
    </xf>
    <xf numFmtId="0" fontId="6" fillId="10" borderId="10" xfId="0" applyNumberFormat="1" applyFont="1" applyFill="1" applyBorder="1" applyAlignment="1">
      <alignment horizontal="center" vertical="center"/>
    </xf>
    <xf numFmtId="0" fontId="6" fillId="0" borderId="5" xfId="0" applyNumberFormat="1" applyFont="1" applyBorder="1" applyAlignment="1">
      <alignment vertical="center" wrapText="1"/>
    </xf>
    <xf numFmtId="0" fontId="37" fillId="0" borderId="0" xfId="0" applyNumberFormat="1" applyFont="1" applyAlignment="1">
      <alignment vertical="center" wrapText="1"/>
    </xf>
    <xf numFmtId="0" fontId="37" fillId="0" borderId="0" xfId="0" applyNumberFormat="1" applyFont="1" applyAlignment="1">
      <alignment vertical="center"/>
    </xf>
    <xf numFmtId="0" fontId="38" fillId="0" borderId="0" xfId="0" applyNumberFormat="1" applyFont="1" applyAlignment="1">
      <alignment vertical="center"/>
    </xf>
    <xf numFmtId="0" fontId="0" fillId="0" borderId="0" xfId="0" applyNumberFormat="1" applyAlignment="1">
      <alignment vertical="top" wrapText="1"/>
    </xf>
    <xf numFmtId="0" fontId="5" fillId="0" borderId="11" xfId="0" applyNumberFormat="1" applyFont="1" applyBorder="1" applyAlignment="1">
      <alignment vertical="top" wrapText="1"/>
    </xf>
    <xf numFmtId="49" fontId="0" fillId="0" borderId="5" xfId="0" applyBorder="1" applyAlignment="1">
      <alignment vertical="top" wrapText="1"/>
    </xf>
    <xf numFmtId="0" fontId="0" fillId="0" borderId="5" xfId="0" applyNumberFormat="1" applyBorder="1" applyAlignment="1">
      <alignment vertical="top" wrapText="1"/>
    </xf>
    <xf numFmtId="0" fontId="0" fillId="0" borderId="0" xfId="0" applyNumberFormat="1" applyAlignment="1"/>
    <xf numFmtId="0" fontId="27"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 fontId="6" fillId="0" borderId="0" xfId="0" applyNumberFormat="1" applyFont="1" applyAlignment="1">
      <alignment horizontal="right" vertical="center" wrapText="1"/>
    </xf>
    <xf numFmtId="0" fontId="6" fillId="0" borderId="0" xfId="0" applyNumberFormat="1" applyFont="1" applyAlignment="1">
      <alignment horizontal="left" vertical="center" wrapText="1" indent="1"/>
    </xf>
    <xf numFmtId="4" fontId="6" fillId="0" borderId="0" xfId="0" applyNumberFormat="1" applyFont="1" applyAlignment="1">
      <alignment horizontal="center" vertical="center" wrapText="1"/>
    </xf>
    <xf numFmtId="0" fontId="36" fillId="0" borderId="0" xfId="0" applyNumberFormat="1" applyFont="1" applyAlignment="1">
      <alignment vertical="center"/>
    </xf>
    <xf numFmtId="167" fontId="6" fillId="0" borderId="5" xfId="0" applyNumberFormat="1" applyFont="1" applyBorder="1" applyAlignment="1">
      <alignment horizontal="center" vertical="center" wrapText="1"/>
    </xf>
    <xf numFmtId="49" fontId="36" fillId="13" borderId="12" xfId="0" applyFont="1" applyFill="1" applyBorder="1" applyAlignment="1">
      <alignment horizontal="left" vertical="center" wrapText="1"/>
    </xf>
    <xf numFmtId="49" fontId="0" fillId="13" borderId="8" xfId="0" applyFill="1" applyBorder="1" applyAlignment="1">
      <alignment horizontal="left" vertical="center"/>
    </xf>
    <xf numFmtId="49" fontId="36" fillId="13" borderId="13" xfId="0" applyFont="1" applyFill="1" applyBorder="1" applyAlignment="1">
      <alignment horizontal="left" vertical="center" wrapText="1"/>
    </xf>
    <xf numFmtId="0" fontId="26" fillId="0" borderId="0" xfId="0" applyNumberFormat="1" applyFont="1" applyAlignment="1">
      <alignment horizontal="center" vertical="center" wrapText="1"/>
    </xf>
    <xf numFmtId="49" fontId="18" fillId="13" borderId="8" xfId="0" applyFont="1" applyFill="1" applyBorder="1" applyAlignment="1">
      <alignment horizontal="right" vertical="center" wrapText="1"/>
    </xf>
    <xf numFmtId="49" fontId="6" fillId="13" borderId="8" xfId="0" applyFont="1" applyFill="1" applyBorder="1" applyAlignment="1">
      <alignment horizontal="right" vertical="center" wrapText="1"/>
    </xf>
    <xf numFmtId="49" fontId="6" fillId="13" borderId="6" xfId="0" applyFont="1" applyFill="1" applyBorder="1" applyAlignment="1">
      <alignment horizontal="right" vertical="center" wrapText="1"/>
    </xf>
    <xf numFmtId="0" fontId="6" fillId="0" borderId="14" xfId="0" applyNumberFormat="1" applyFont="1" applyBorder="1" applyAlignment="1">
      <alignment vertical="center" wrapText="1"/>
    </xf>
    <xf numFmtId="0" fontId="35" fillId="0" borderId="0" xfId="0" applyNumberFormat="1" applyFont="1" applyAlignment="1">
      <alignment vertical="center" wrapText="1"/>
    </xf>
    <xf numFmtId="0" fontId="39" fillId="0" borderId="0" xfId="0" applyNumberFormat="1" applyFont="1" applyAlignment="1">
      <alignment horizontal="center" vertical="center" wrapText="1"/>
    </xf>
    <xf numFmtId="49" fontId="40" fillId="14" borderId="0" xfId="0" applyFont="1" applyFill="1">
      <alignment vertical="top"/>
    </xf>
    <xf numFmtId="49" fontId="40" fillId="0" borderId="0" xfId="0" applyFont="1">
      <alignment vertical="top"/>
    </xf>
    <xf numFmtId="49" fontId="0" fillId="13" borderId="8" xfId="0" applyFill="1" applyBorder="1" applyAlignment="1">
      <alignment horizontal="right" vertical="center" wrapText="1"/>
    </xf>
    <xf numFmtId="0" fontId="18" fillId="0" borderId="4" xfId="0" applyNumberFormat="1" applyFont="1" applyBorder="1" applyAlignment="1">
      <alignment vertical="center" wrapText="1"/>
    </xf>
    <xf numFmtId="0" fontId="5" fillId="0" borderId="0" xfId="0" applyNumberFormat="1" applyFont="1" applyAlignment="1">
      <alignment vertical="top" wrapText="1"/>
    </xf>
    <xf numFmtId="0" fontId="6" fillId="0" borderId="4" xfId="0" applyNumberFormat="1" applyFont="1" applyBorder="1" applyAlignment="1">
      <alignment vertical="center" wrapText="1"/>
    </xf>
    <xf numFmtId="0" fontId="6" fillId="10" borderId="0" xfId="0" applyNumberFormat="1" applyFont="1" applyFill="1" applyAlignment="1">
      <alignment horizontal="right" vertical="center"/>
    </xf>
    <xf numFmtId="0" fontId="0" fillId="0" borderId="5" xfId="0" applyNumberFormat="1" applyBorder="1" applyAlignment="1">
      <alignment horizontal="left" vertical="center" wrapText="1" indent="1"/>
    </xf>
    <xf numFmtId="0" fontId="0" fillId="15" borderId="5" xfId="0" applyNumberFormat="1" applyFill="1" applyBorder="1" applyAlignment="1" applyProtection="1">
      <alignment horizontal="left" vertical="center" wrapText="1" indent="2"/>
      <protection locked="0"/>
    </xf>
    <xf numFmtId="49" fontId="37" fillId="0" borderId="0" xfId="0" applyFont="1">
      <alignment vertical="top"/>
    </xf>
    <xf numFmtId="0" fontId="0" fillId="0" borderId="5" xfId="0" applyNumberFormat="1" applyBorder="1" applyAlignment="1">
      <alignment vertical="center" wrapText="1"/>
    </xf>
    <xf numFmtId="0" fontId="0" fillId="15" borderId="5" xfId="0" applyNumberFormat="1" applyFill="1" applyBorder="1" applyAlignment="1" applyProtection="1">
      <alignment horizontal="left" vertical="center" wrapText="1" indent="1"/>
      <protection locked="0"/>
    </xf>
    <xf numFmtId="49" fontId="30" fillId="13" borderId="8" xfId="0" applyFont="1" applyFill="1" applyBorder="1" applyAlignment="1">
      <alignment horizontal="left" vertical="center" indent="3"/>
    </xf>
    <xf numFmtId="49" fontId="34" fillId="13" borderId="6" xfId="0" applyFont="1" applyFill="1" applyBorder="1" applyAlignment="1">
      <alignment horizontal="center" vertical="top"/>
    </xf>
    <xf numFmtId="0" fontId="5" fillId="0" borderId="0" xfId="0" applyNumberFormat="1" applyFont="1" applyAlignment="1">
      <alignment horizontal="right" vertical="top" wrapText="1"/>
    </xf>
    <xf numFmtId="49" fontId="30" fillId="13" borderId="8" xfId="0" applyFont="1" applyFill="1" applyBorder="1" applyAlignment="1">
      <alignment horizontal="left" vertical="center" indent="1"/>
    </xf>
    <xf numFmtId="49" fontId="30" fillId="13" borderId="8" xfId="0" applyFont="1" applyFill="1" applyBorder="1" applyAlignment="1">
      <alignment horizontal="left" vertical="center" indent="2"/>
    </xf>
    <xf numFmtId="0" fontId="0" fillId="0" borderId="5" xfId="0" applyNumberFormat="1" applyBorder="1" applyAlignment="1">
      <alignment horizontal="left" vertical="center" wrapText="1" indent="2"/>
    </xf>
    <xf numFmtId="49" fontId="6" fillId="16" borderId="5" xfId="0" applyFont="1" applyFill="1" applyBorder="1" applyAlignment="1">
      <alignment horizontal="left" vertical="center" wrapText="1"/>
    </xf>
    <xf numFmtId="0" fontId="6" fillId="0" borderId="5" xfId="0" applyNumberFormat="1" applyFont="1" applyBorder="1" applyAlignment="1">
      <alignment vertical="top" wrapText="1"/>
    </xf>
    <xf numFmtId="49" fontId="0" fillId="0" borderId="10" xfId="0" applyBorder="1">
      <alignment vertical="top"/>
    </xf>
    <xf numFmtId="0" fontId="19" fillId="0" borderId="0" xfId="0" applyNumberFormat="1" applyFont="1" applyAlignment="1">
      <alignment vertical="center"/>
    </xf>
    <xf numFmtId="49" fontId="16" fillId="15" borderId="5" xfId="0" applyFont="1" applyFill="1" applyBorder="1" applyAlignment="1" applyProtection="1">
      <alignment horizontal="left" vertical="center" wrapText="1"/>
      <protection locked="0"/>
    </xf>
    <xf numFmtId="0" fontId="0" fillId="11" borderId="5" xfId="0" applyNumberFormat="1" applyFill="1" applyBorder="1" applyAlignment="1">
      <alignment horizontal="left" vertical="center" wrapText="1" indent="1"/>
    </xf>
    <xf numFmtId="49" fontId="6" fillId="15" borderId="5" xfId="0" applyFont="1" applyFill="1" applyBorder="1" applyAlignment="1" applyProtection="1">
      <alignment horizontal="left" vertical="center" wrapText="1" indent="1"/>
      <protection locked="0"/>
    </xf>
    <xf numFmtId="49" fontId="6" fillId="11" borderId="5" xfId="0" applyFont="1" applyFill="1" applyBorder="1" applyAlignment="1">
      <alignment horizontal="left" vertical="center" wrapText="1" indent="1"/>
    </xf>
    <xf numFmtId="49" fontId="6" fillId="0" borderId="5" xfId="0" applyFont="1" applyBorder="1" applyAlignment="1">
      <alignment horizontal="left" vertical="center" wrapText="1" indent="1"/>
    </xf>
    <xf numFmtId="0" fontId="37" fillId="0" borderId="0" xfId="0" applyNumberFormat="1" applyFont="1" applyAlignment="1">
      <alignment horizontal="center" vertical="center" wrapText="1"/>
    </xf>
    <xf numFmtId="0" fontId="0" fillId="0" borderId="5" xfId="0" applyNumberFormat="1" applyBorder="1" applyAlignment="1">
      <alignment horizontal="left" vertical="center" wrapText="1"/>
    </xf>
    <xf numFmtId="49" fontId="26" fillId="0" borderId="8" xfId="0" applyFont="1" applyBorder="1" applyAlignment="1">
      <alignment horizontal="center" vertical="center" wrapText="1"/>
    </xf>
    <xf numFmtId="0" fontId="41" fillId="0" borderId="0" xfId="0" applyNumberFormat="1" applyFont="1" applyAlignment="1">
      <alignment vertical="center"/>
    </xf>
    <xf numFmtId="0" fontId="42" fillId="0" borderId="0" xfId="0" applyNumberFormat="1" applyFont="1" applyAlignment="1">
      <alignment vertical="center"/>
    </xf>
    <xf numFmtId="0" fontId="37" fillId="0" borderId="0" xfId="0" applyNumberFormat="1" applyFont="1" applyAlignment="1">
      <alignment horizontal="left" vertical="center" wrapText="1" indent="1"/>
    </xf>
    <xf numFmtId="0" fontId="36" fillId="0" borderId="0" xfId="0" applyNumberFormat="1" applyFont="1" applyAlignment="1">
      <alignment horizontal="left" vertical="center" wrapText="1" indent="1"/>
    </xf>
    <xf numFmtId="0" fontId="43" fillId="0" borderId="0" xfId="0" applyNumberFormat="1" applyFont="1" applyAlignment="1">
      <alignment horizontal="left" vertical="center" wrapText="1" indent="1"/>
    </xf>
    <xf numFmtId="0" fontId="44" fillId="0" borderId="0" xfId="0" applyNumberFormat="1" applyFont="1" applyAlignment="1">
      <alignment horizontal="left" vertical="center" indent="1"/>
    </xf>
    <xf numFmtId="0" fontId="43" fillId="0" borderId="0" xfId="0" applyNumberFormat="1" applyFont="1" applyAlignment="1">
      <alignment vertical="center" wrapText="1"/>
    </xf>
    <xf numFmtId="0" fontId="45" fillId="0" borderId="0" xfId="0" applyNumberFormat="1" applyFont="1" applyAlignment="1">
      <alignment horizontal="left" vertical="center" wrapText="1"/>
    </xf>
    <xf numFmtId="0" fontId="46" fillId="0" borderId="0" xfId="0" applyNumberFormat="1" applyFont="1" applyAlignment="1">
      <alignment vertical="center" wrapText="1"/>
    </xf>
    <xf numFmtId="0" fontId="47" fillId="10" borderId="0" xfId="0" applyNumberFormat="1" applyFont="1" applyFill="1" applyAlignment="1">
      <alignment vertical="center" wrapText="1"/>
    </xf>
    <xf numFmtId="0" fontId="48" fillId="10" borderId="0" xfId="0" applyNumberFormat="1" applyFont="1" applyFill="1" applyAlignment="1">
      <alignment horizontal="right" vertical="center" wrapText="1" indent="1"/>
    </xf>
    <xf numFmtId="0" fontId="47" fillId="0" borderId="0" xfId="0" applyNumberFormat="1" applyFont="1" applyAlignment="1">
      <alignment vertical="center" wrapText="1"/>
    </xf>
    <xf numFmtId="0" fontId="47" fillId="10" borderId="0" xfId="0" applyNumberFormat="1" applyFont="1" applyFill="1" applyAlignment="1">
      <alignment horizontal="right" vertical="center" wrapText="1" indent="1"/>
    </xf>
    <xf numFmtId="0" fontId="49" fillId="10" borderId="0" xfId="0" applyNumberFormat="1" applyFont="1" applyFill="1" applyAlignment="1">
      <alignment horizontal="center" vertical="center" wrapText="1"/>
    </xf>
    <xf numFmtId="0" fontId="45" fillId="10" borderId="0" xfId="0" applyNumberFormat="1" applyFont="1" applyFill="1" applyAlignment="1">
      <alignment horizontal="center" vertical="center" wrapText="1"/>
    </xf>
    <xf numFmtId="0" fontId="47" fillId="10" borderId="0" xfId="0" applyNumberFormat="1" applyFont="1" applyFill="1" applyAlignment="1">
      <alignment horizontal="left" vertical="center" wrapText="1" indent="1"/>
    </xf>
    <xf numFmtId="0" fontId="50" fillId="0" borderId="0" xfId="0" applyNumberFormat="1" applyFont="1" applyAlignment="1">
      <alignment horizontal="left" vertical="center" wrapText="1"/>
    </xf>
    <xf numFmtId="0" fontId="50" fillId="0" borderId="0" xfId="0" applyNumberFormat="1" applyFont="1" applyAlignment="1">
      <alignment vertical="center" wrapText="1"/>
    </xf>
    <xf numFmtId="0" fontId="47" fillId="0" borderId="0" xfId="0" applyNumberFormat="1" applyFont="1" applyAlignment="1">
      <alignment horizontal="right" vertical="center"/>
    </xf>
    <xf numFmtId="0" fontId="0" fillId="0" borderId="0" xfId="0" applyNumberFormat="1" applyAlignment="1">
      <alignment horizontal="left" vertical="center" indent="1"/>
    </xf>
    <xf numFmtId="0" fontId="37" fillId="0" borderId="0" xfId="0" applyNumberFormat="1" applyFont="1" applyAlignment="1">
      <alignment horizontal="left" vertical="center" indent="1"/>
    </xf>
    <xf numFmtId="0" fontId="37" fillId="0" borderId="15" xfId="0" applyNumberFormat="1" applyFont="1" applyBorder="1" applyAlignment="1">
      <alignment vertical="center"/>
    </xf>
    <xf numFmtId="0" fontId="0" fillId="0" borderId="5" xfId="0" applyNumberFormat="1" applyBorder="1" applyAlignment="1">
      <alignment horizontal="center" vertical="center"/>
    </xf>
    <xf numFmtId="49" fontId="0" fillId="0" borderId="5" xfId="0" applyBorder="1" applyAlignment="1">
      <alignment horizontal="center" vertical="center"/>
    </xf>
    <xf numFmtId="49" fontId="0" fillId="0" borderId="5" xfId="0" applyBorder="1" applyAlignment="1">
      <alignment horizontal="left" vertical="center"/>
    </xf>
    <xf numFmtId="0" fontId="6" fillId="0" borderId="0" xfId="0" applyNumberFormat="1" applyFont="1" applyAlignment="1">
      <alignment horizontal="left" vertical="center" wrapText="1" indent="2"/>
    </xf>
    <xf numFmtId="0" fontId="0" fillId="15" borderId="5" xfId="0" applyNumberFormat="1" applyFill="1" applyBorder="1" applyAlignment="1" applyProtection="1">
      <alignment horizontal="left" vertical="center" wrapText="1"/>
      <protection locked="0"/>
    </xf>
    <xf numFmtId="0" fontId="6" fillId="0" borderId="5" xfId="0" applyNumberFormat="1" applyFont="1" applyBorder="1" applyAlignment="1">
      <alignment horizontal="left" vertical="top" wrapText="1"/>
    </xf>
    <xf numFmtId="0" fontId="6" fillId="0" borderId="5" xfId="0" applyNumberFormat="1" applyFont="1" applyBorder="1" applyAlignment="1">
      <alignment horizontal="left" vertical="center" wrapText="1"/>
    </xf>
    <xf numFmtId="49" fontId="6" fillId="0" borderId="10" xfId="0" applyFont="1" applyBorder="1" applyAlignment="1">
      <alignment horizontal="left" vertical="center" wrapText="1"/>
    </xf>
    <xf numFmtId="49" fontId="18" fillId="13" borderId="7" xfId="0" applyFont="1" applyFill="1" applyBorder="1" applyAlignment="1">
      <alignment horizontal="center" vertical="center"/>
    </xf>
    <xf numFmtId="0" fontId="51" fillId="0" borderId="0" xfId="0" applyNumberFormat="1" applyFont="1" applyAlignment="1">
      <alignment vertical="center" wrapText="1"/>
    </xf>
    <xf numFmtId="0" fontId="51" fillId="0" borderId="0" xfId="0" applyNumberFormat="1" applyFont="1" applyAlignment="1"/>
    <xf numFmtId="49" fontId="52" fillId="0" borderId="0" xfId="0" applyFont="1">
      <alignment vertical="top"/>
    </xf>
    <xf numFmtId="49" fontId="53" fillId="0" borderId="0" xfId="0" applyFont="1">
      <alignment vertical="top"/>
    </xf>
    <xf numFmtId="0" fontId="37" fillId="0" borderId="0" xfId="0" applyNumberFormat="1" applyFont="1">
      <alignment vertical="top"/>
    </xf>
    <xf numFmtId="49" fontId="6" fillId="0" borderId="5" xfId="0" applyFont="1" applyBorder="1" applyAlignment="1">
      <alignment horizontal="right" vertical="center"/>
    </xf>
    <xf numFmtId="0" fontId="54" fillId="0" borderId="0" xfId="0" applyNumberFormat="1" applyFont="1" applyAlignment="1">
      <alignment vertical="center"/>
    </xf>
    <xf numFmtId="0" fontId="55" fillId="0" borderId="0" xfId="0" applyNumberFormat="1" applyFont="1" applyAlignment="1">
      <alignment vertical="center"/>
    </xf>
    <xf numFmtId="0" fontId="6" fillId="10" borderId="5" xfId="0" applyNumberFormat="1" applyFont="1" applyFill="1" applyBorder="1" applyAlignment="1">
      <alignment horizontal="left" vertical="center" wrapText="1" indent="4"/>
    </xf>
    <xf numFmtId="0" fontId="6" fillId="10" borderId="5" xfId="0" applyNumberFormat="1" applyFont="1" applyFill="1" applyBorder="1" applyAlignment="1">
      <alignment horizontal="left" vertical="center" wrapText="1" indent="5"/>
    </xf>
    <xf numFmtId="49" fontId="30" fillId="13" borderId="8" xfId="0" applyFont="1" applyFill="1" applyBorder="1" applyAlignment="1">
      <alignment horizontal="left" vertical="center" indent="5"/>
    </xf>
    <xf numFmtId="49" fontId="30" fillId="13" borderId="8" xfId="0" applyFont="1" applyFill="1" applyBorder="1" applyAlignment="1">
      <alignment horizontal="left" vertical="center" indent="6"/>
    </xf>
    <xf numFmtId="0" fontId="56" fillId="10" borderId="0" xfId="0" applyNumberFormat="1" applyFont="1" applyFill="1" applyAlignment="1">
      <alignment vertical="center" wrapText="1"/>
    </xf>
    <xf numFmtId="49" fontId="30" fillId="13" borderId="7" xfId="0" applyFont="1" applyFill="1" applyBorder="1" applyAlignment="1">
      <alignment horizontal="left" vertical="center" indent="1"/>
    </xf>
    <xf numFmtId="0" fontId="0" fillId="10" borderId="5" xfId="0" applyNumberFormat="1" applyFill="1" applyBorder="1" applyAlignment="1">
      <alignment horizontal="right" vertical="center" wrapText="1" indent="1"/>
    </xf>
    <xf numFmtId="0" fontId="6" fillId="0" borderId="5" xfId="0" applyNumberFormat="1" applyFont="1" applyBorder="1" applyAlignment="1">
      <alignment horizontal="left" vertical="center" wrapText="1" indent="6"/>
    </xf>
    <xf numFmtId="0" fontId="6" fillId="0" borderId="10" xfId="0" applyNumberFormat="1" applyFont="1" applyBorder="1" applyAlignment="1">
      <alignment vertical="center" wrapText="1"/>
    </xf>
    <xf numFmtId="0" fontId="6" fillId="0" borderId="16" xfId="0" applyNumberFormat="1" applyFont="1" applyBorder="1" applyAlignment="1">
      <alignment vertical="center" wrapText="1"/>
    </xf>
    <xf numFmtId="49" fontId="0" fillId="13" borderId="6" xfId="0" applyFill="1" applyBorder="1" applyAlignment="1">
      <alignment horizontal="center" vertical="center" wrapText="1"/>
    </xf>
    <xf numFmtId="0" fontId="0" fillId="0" borderId="7" xfId="0" applyNumberFormat="1" applyBorder="1" applyAlignment="1">
      <alignment vertical="center"/>
    </xf>
    <xf numFmtId="0" fontId="0" fillId="10" borderId="7" xfId="0" applyNumberFormat="1" applyFill="1" applyBorder="1" applyAlignment="1">
      <alignment horizontal="right" vertical="center" wrapText="1" indent="1"/>
    </xf>
    <xf numFmtId="0" fontId="6" fillId="10" borderId="5" xfId="0" applyNumberFormat="1" applyFont="1" applyFill="1" applyBorder="1" applyAlignment="1">
      <alignment horizontal="left" vertical="center" wrapText="1" indent="1"/>
    </xf>
    <xf numFmtId="0" fontId="6" fillId="10" borderId="5" xfId="0" applyNumberFormat="1" applyFont="1" applyFill="1" applyBorder="1" applyAlignment="1">
      <alignment horizontal="left" vertical="center" wrapText="1" indent="2"/>
    </xf>
    <xf numFmtId="0" fontId="6" fillId="10" borderId="5" xfId="0" applyNumberFormat="1" applyFont="1" applyFill="1" applyBorder="1" applyAlignment="1">
      <alignment horizontal="left" vertical="center" wrapText="1" indent="3"/>
    </xf>
    <xf numFmtId="0" fontId="6" fillId="0" borderId="5" xfId="0" applyNumberFormat="1" applyFont="1" applyBorder="1" applyAlignment="1">
      <alignment horizontal="left" vertical="center" wrapText="1" indent="4"/>
    </xf>
    <xf numFmtId="49" fontId="30" fillId="13" borderId="7" xfId="0" applyFont="1" applyFill="1" applyBorder="1" applyAlignment="1">
      <alignment vertical="center" wrapText="1"/>
    </xf>
    <xf numFmtId="49" fontId="30" fillId="13" borderId="8" xfId="0" applyFont="1" applyFill="1" applyBorder="1" applyAlignment="1">
      <alignment vertical="center"/>
    </xf>
    <xf numFmtId="49" fontId="30" fillId="13" borderId="8" xfId="0" applyFont="1" applyFill="1" applyBorder="1" applyAlignment="1">
      <alignment vertical="center" wrapText="1"/>
    </xf>
    <xf numFmtId="49" fontId="30" fillId="13" borderId="7" xfId="0" applyFont="1" applyFill="1" applyBorder="1" applyAlignment="1">
      <alignment horizontal="left" vertical="center"/>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6" xfId="0" applyNumberFormat="1" applyFont="1" applyFill="1" applyBorder="1" applyAlignment="1">
      <alignment horizontal="left" vertical="center"/>
    </xf>
    <xf numFmtId="49" fontId="0" fillId="0" borderId="0" xfId="0" applyAlignment="1">
      <alignment vertical="center"/>
    </xf>
    <xf numFmtId="0" fontId="18" fillId="10" borderId="0" xfId="0" applyNumberFormat="1" applyFont="1" applyFill="1" applyAlignment="1">
      <alignment horizontal="center" vertical="center" wrapText="1"/>
    </xf>
    <xf numFmtId="49" fontId="6" fillId="13" borderId="6" xfId="0" applyFont="1" applyFill="1" applyBorder="1" applyAlignment="1">
      <alignment horizontal="center" vertical="center" wrapText="1"/>
    </xf>
    <xf numFmtId="4" fontId="6" fillId="0" borderId="5" xfId="0" applyNumberFormat="1" applyFont="1" applyBorder="1" applyAlignment="1">
      <alignment horizontal="right" vertical="center" wrapText="1"/>
    </xf>
    <xf numFmtId="4" fontId="37" fillId="0" borderId="5" xfId="0" applyNumberFormat="1" applyFont="1" applyBorder="1" applyAlignment="1">
      <alignment horizontal="center" vertical="center" wrapText="1"/>
    </xf>
    <xf numFmtId="49" fontId="57" fillId="0" borderId="7" xfId="0" applyFont="1" applyBorder="1" applyAlignment="1">
      <alignment horizontal="left" vertical="center" wrapText="1"/>
    </xf>
    <xf numFmtId="0" fontId="54" fillId="0" borderId="5" xfId="0" applyNumberFormat="1" applyFont="1" applyBorder="1" applyAlignment="1">
      <alignment horizontal="left" vertical="center" wrapText="1" indent="2"/>
    </xf>
    <xf numFmtId="49" fontId="54" fillId="0" borderId="5" xfId="0" applyFont="1" applyBorder="1" applyAlignment="1">
      <alignment horizontal="center" vertical="center" wrapText="1"/>
    </xf>
    <xf numFmtId="0" fontId="58" fillId="0" borderId="0" xfId="0" applyNumberFormat="1" applyFont="1" applyAlignment="1">
      <alignment vertical="center" wrapText="1"/>
    </xf>
    <xf numFmtId="0" fontId="6" fillId="0" borderId="0" xfId="0" applyNumberFormat="1" applyFont="1">
      <alignment vertical="top"/>
    </xf>
    <xf numFmtId="0" fontId="6" fillId="0" borderId="0" xfId="0" applyNumberFormat="1" applyFont="1" applyAlignment="1">
      <alignment horizontal="right" vertical="top" wrapText="1"/>
    </xf>
    <xf numFmtId="0" fontId="6" fillId="0" borderId="16" xfId="0" applyNumberFormat="1" applyFont="1" applyBorder="1" applyAlignment="1">
      <alignment vertical="top" wrapText="1"/>
    </xf>
    <xf numFmtId="0" fontId="0" fillId="0" borderId="0" xfId="0" applyNumberFormat="1" applyAlignment="1">
      <alignment horizontal="left" vertical="top" wrapText="1"/>
    </xf>
    <xf numFmtId="0" fontId="6" fillId="0" borderId="10" xfId="0" applyNumberFormat="1" applyFont="1" applyBorder="1" applyAlignment="1">
      <alignment vertical="top" wrapText="1"/>
    </xf>
    <xf numFmtId="0" fontId="6" fillId="15" borderId="5" xfId="0" applyNumberFormat="1" applyFont="1" applyFill="1" applyBorder="1" applyAlignment="1" applyProtection="1">
      <alignment horizontal="left" vertical="center" wrapText="1" indent="1"/>
      <protection locked="0"/>
    </xf>
    <xf numFmtId="0" fontId="59" fillId="0" borderId="0" xfId="0" applyNumberFormat="1" applyFont="1" applyAlignment="1">
      <alignment vertical="center" wrapText="1"/>
    </xf>
    <xf numFmtId="0" fontId="32" fillId="10" borderId="0" xfId="0" applyNumberFormat="1" applyFont="1" applyFill="1" applyAlignment="1">
      <alignment horizontal="center" vertical="center" wrapText="1"/>
    </xf>
    <xf numFmtId="0" fontId="6" fillId="0" borderId="17" xfId="0" applyNumberFormat="1" applyFont="1" applyBorder="1" applyAlignment="1">
      <alignment vertical="center" wrapText="1"/>
    </xf>
    <xf numFmtId="0" fontId="27" fillId="0" borderId="0" xfId="0" applyNumberFormat="1" applyFont="1" applyAlignment="1">
      <alignment vertical="center" wrapText="1"/>
    </xf>
    <xf numFmtId="49" fontId="6" fillId="0" borderId="17" xfId="0" applyFont="1" applyBorder="1">
      <alignment vertical="top"/>
    </xf>
    <xf numFmtId="0" fontId="37" fillId="0" borderId="17" xfId="0" applyNumberFormat="1" applyFont="1" applyBorder="1" applyAlignment="1">
      <alignment horizontal="center" vertical="center" wrapText="1"/>
    </xf>
    <xf numFmtId="0" fontId="37" fillId="0" borderId="17" xfId="0" applyNumberFormat="1" applyFont="1" applyBorder="1" applyAlignment="1">
      <alignment vertical="center" wrapText="1"/>
    </xf>
    <xf numFmtId="49" fontId="0" fillId="0" borderId="17" xfId="0" applyBorder="1">
      <alignment vertical="top"/>
    </xf>
    <xf numFmtId="49" fontId="30" fillId="13" borderId="8" xfId="0" applyFont="1" applyFill="1" applyBorder="1" applyAlignment="1">
      <alignment horizontal="left" vertical="center" indent="4"/>
    </xf>
    <xf numFmtId="49" fontId="0" fillId="13" borderId="8" xfId="0" applyFill="1" applyBorder="1" applyAlignment="1">
      <alignment horizontal="center" vertical="center" wrapText="1"/>
    </xf>
    <xf numFmtId="49" fontId="6" fillId="13" borderId="8" xfId="0" applyFont="1" applyFill="1" applyBorder="1" applyAlignment="1">
      <alignment horizontal="center" vertical="center" wrapText="1"/>
    </xf>
    <xf numFmtId="49" fontId="6" fillId="0" borderId="5" xfId="0" applyFont="1" applyBorder="1" applyAlignment="1">
      <alignment horizontal="right" vertical="top"/>
    </xf>
    <xf numFmtId="49" fontId="6" fillId="0" borderId="10" xfId="0" applyFont="1" applyBorder="1" applyAlignment="1">
      <alignment horizontal="right" vertical="top"/>
    </xf>
    <xf numFmtId="49" fontId="29" fillId="0" borderId="0" xfId="0" applyFont="1">
      <alignment vertical="top"/>
    </xf>
    <xf numFmtId="49" fontId="6" fillId="15" borderId="5" xfId="0" applyFont="1" applyFill="1" applyBorder="1" applyAlignment="1" applyProtection="1">
      <alignment horizontal="left" vertical="center" wrapText="1"/>
      <protection locked="0"/>
    </xf>
    <xf numFmtId="49" fontId="0" fillId="0" borderId="18" xfId="0" applyBorder="1" applyAlignment="1">
      <alignment horizontal="center" vertical="center"/>
    </xf>
    <xf numFmtId="168" fontId="6" fillId="0" borderId="5" xfId="0" applyNumberFormat="1" applyFont="1" applyBorder="1" applyAlignment="1">
      <alignment horizontal="right" vertical="center" wrapText="1"/>
    </xf>
    <xf numFmtId="49" fontId="16" fillId="15" borderId="7" xfId="0" applyFont="1" applyFill="1" applyBorder="1" applyAlignment="1" applyProtection="1">
      <alignment horizontal="left" vertical="center" wrapText="1"/>
      <protection locked="0"/>
    </xf>
    <xf numFmtId="0" fontId="18" fillId="0" borderId="0" xfId="0" applyNumberFormat="1" applyFont="1" applyAlignment="1">
      <alignment vertical="top" wrapText="1"/>
    </xf>
    <xf numFmtId="0" fontId="6" fillId="10" borderId="19" xfId="0" applyNumberFormat="1" applyFont="1" applyFill="1" applyBorder="1" applyAlignment="1">
      <alignment horizontal="right" vertical="center" wrapText="1" indent="1"/>
    </xf>
    <xf numFmtId="0" fontId="0" fillId="10" borderId="19" xfId="0" applyNumberFormat="1" applyFill="1" applyBorder="1" applyAlignment="1">
      <alignment horizontal="right" vertical="center" wrapText="1" indent="1"/>
    </xf>
    <xf numFmtId="0" fontId="6" fillId="0" borderId="0" xfId="0" applyNumberFormat="1" applyFont="1" applyAlignment="1">
      <alignment horizontal="left" vertical="center" wrapText="1" indent="4"/>
    </xf>
    <xf numFmtId="0" fontId="6" fillId="0" borderId="12" xfId="0" applyNumberFormat="1" applyFont="1" applyBorder="1" applyAlignment="1">
      <alignment vertical="center" wrapText="1"/>
    </xf>
    <xf numFmtId="49" fontId="0" fillId="10" borderId="7" xfId="0" applyFill="1" applyBorder="1" applyAlignment="1">
      <alignment horizontal="center" vertical="center" wrapText="1"/>
    </xf>
    <xf numFmtId="49" fontId="30" fillId="13" borderId="20" xfId="0" applyFont="1" applyFill="1" applyBorder="1" applyAlignment="1">
      <alignment horizontal="left" vertical="center" indent="2"/>
    </xf>
    <xf numFmtId="49" fontId="16" fillId="12" borderId="5" xfId="0" applyFont="1" applyFill="1" applyBorder="1" applyAlignment="1" applyProtection="1">
      <alignment horizontal="left" vertical="center" wrapText="1"/>
      <protection locked="0"/>
    </xf>
    <xf numFmtId="49" fontId="6" fillId="0" borderId="12" xfId="0" applyFont="1" applyBorder="1">
      <alignment vertical="top"/>
    </xf>
    <xf numFmtId="49" fontId="60" fillId="13" borderId="6" xfId="0" applyFont="1" applyFill="1" applyBorder="1" applyAlignment="1">
      <alignment horizontal="left" vertical="center" indent="1"/>
    </xf>
    <xf numFmtId="49" fontId="60" fillId="13" borderId="8" xfId="0" applyFont="1" applyFill="1" applyBorder="1" applyAlignment="1">
      <alignment horizontal="left" vertical="center" indent="1"/>
    </xf>
    <xf numFmtId="49" fontId="60" fillId="13" borderId="8" xfId="0" applyFont="1" applyFill="1" applyBorder="1" applyAlignment="1">
      <alignment vertical="center"/>
    </xf>
    <xf numFmtId="0" fontId="0" fillId="7" borderId="5" xfId="0" applyNumberFormat="1" applyFill="1" applyBorder="1" applyAlignment="1">
      <alignment horizontal="right" vertical="center"/>
    </xf>
    <xf numFmtId="0" fontId="22" fillId="0" borderId="0" xfId="0" applyNumberFormat="1" applyFont="1" applyAlignment="1">
      <alignment horizontal="center" vertical="center" wrapText="1"/>
    </xf>
    <xf numFmtId="0" fontId="0" fillId="0" borderId="0" xfId="0" applyNumberFormat="1" applyAlignment="1">
      <alignment vertical="center" wrapText="1"/>
    </xf>
    <xf numFmtId="0" fontId="61" fillId="0" borderId="0" xfId="0" applyNumberFormat="1" applyFont="1" applyAlignment="1">
      <alignment vertical="center" wrapText="1"/>
    </xf>
    <xf numFmtId="49" fontId="18" fillId="13" borderId="7" xfId="0" applyFont="1" applyFill="1" applyBorder="1" applyAlignment="1">
      <alignment horizontal="right" vertical="center" wrapText="1"/>
    </xf>
    <xf numFmtId="49" fontId="0" fillId="13" borderId="6" xfId="0" applyFill="1" applyBorder="1" applyAlignment="1">
      <alignment horizontal="right" vertical="center" wrapText="1"/>
    </xf>
    <xf numFmtId="0" fontId="0" fillId="0" borderId="7" xfId="0" applyNumberFormat="1" applyBorder="1" applyAlignment="1">
      <alignment horizontal="center" vertical="center" wrapText="1"/>
    </xf>
    <xf numFmtId="0" fontId="0" fillId="12" borderId="5" xfId="0" applyNumberFormat="1" applyFill="1" applyBorder="1" applyAlignment="1" applyProtection="1">
      <alignment horizontal="right" vertical="center" wrapText="1"/>
      <protection locked="0"/>
    </xf>
    <xf numFmtId="3" fontId="0" fillId="15" borderId="5" xfId="0" applyNumberFormat="1" applyFill="1" applyBorder="1" applyAlignment="1" applyProtection="1">
      <alignment horizontal="right" vertical="center" wrapText="1"/>
      <protection locked="0"/>
    </xf>
    <xf numFmtId="49" fontId="0" fillId="0" borderId="5" xfId="0" applyBorder="1" applyAlignment="1">
      <alignment horizontal="center" vertical="center" wrapText="1"/>
    </xf>
    <xf numFmtId="0" fontId="0" fillId="10" borderId="7" xfId="0" applyNumberFormat="1" applyFill="1" applyBorder="1" applyAlignment="1">
      <alignment horizontal="left" vertical="center" wrapText="1" indent="1"/>
    </xf>
    <xf numFmtId="0" fontId="0" fillId="10" borderId="10" xfId="0" applyNumberFormat="1" applyFill="1" applyBorder="1" applyAlignment="1">
      <alignment horizontal="left" vertical="center" wrapText="1"/>
    </xf>
    <xf numFmtId="0" fontId="0" fillId="10" borderId="5" xfId="0" applyNumberFormat="1" applyFill="1" applyBorder="1" applyAlignment="1">
      <alignment horizontal="left" vertical="center" wrapText="1"/>
    </xf>
    <xf numFmtId="0" fontId="0" fillId="10" borderId="5" xfId="0" applyNumberFormat="1" applyFill="1" applyBorder="1" applyAlignment="1">
      <alignment horizontal="left" vertical="center" wrapText="1" indent="2"/>
    </xf>
    <xf numFmtId="0" fontId="0" fillId="10" borderId="5" xfId="0" applyNumberFormat="1" applyFill="1" applyBorder="1" applyAlignment="1">
      <alignment horizontal="center" vertical="center"/>
    </xf>
    <xf numFmtId="49" fontId="0" fillId="15" borderId="5" xfId="0" applyFill="1" applyBorder="1" applyAlignment="1" applyProtection="1">
      <alignment horizontal="left" vertical="center" wrapText="1"/>
      <protection locked="0"/>
    </xf>
    <xf numFmtId="0" fontId="0" fillId="10" borderId="5" xfId="0" applyNumberFormat="1" applyFill="1" applyBorder="1" applyAlignment="1">
      <alignment horizontal="left" vertical="center" wrapText="1" indent="1"/>
    </xf>
    <xf numFmtId="0" fontId="0" fillId="10" borderId="5" xfId="0" applyNumberFormat="1" applyFill="1" applyBorder="1" applyAlignment="1">
      <alignment vertical="center" wrapText="1"/>
    </xf>
    <xf numFmtId="49" fontId="0" fillId="10" borderId="5" xfId="0" applyFill="1" applyBorder="1" applyAlignment="1">
      <alignment horizontal="center" vertical="center"/>
    </xf>
    <xf numFmtId="0" fontId="0" fillId="10" borderId="5" xfId="0" applyNumberFormat="1" applyFill="1" applyBorder="1" applyAlignment="1">
      <alignment horizontal="center" vertical="center" wrapText="1"/>
    </xf>
    <xf numFmtId="0" fontId="5" fillId="0" borderId="0" xfId="0" applyNumberFormat="1" applyFont="1" applyAlignment="1">
      <alignment horizontal="center" vertical="center" wrapText="1"/>
    </xf>
    <xf numFmtId="0" fontId="0" fillId="10" borderId="0" xfId="0" applyNumberFormat="1" applyFill="1" applyAlignment="1"/>
    <xf numFmtId="0" fontId="0" fillId="10" borderId="0" xfId="0" applyNumberFormat="1" applyFill="1" applyAlignment="1">
      <alignment horizontal="center"/>
    </xf>
    <xf numFmtId="0" fontId="62" fillId="10" borderId="0" xfId="0" applyNumberFormat="1" applyFont="1" applyFill="1" applyAlignment="1">
      <alignment horizontal="center"/>
    </xf>
    <xf numFmtId="0" fontId="62" fillId="10" borderId="0" xfId="0" applyNumberFormat="1" applyFont="1" applyFill="1" applyAlignment="1"/>
    <xf numFmtId="0" fontId="63" fillId="10" borderId="0" xfId="0" applyNumberFormat="1" applyFont="1" applyFill="1" applyAlignment="1"/>
    <xf numFmtId="0" fontId="64" fillId="10" borderId="0" xfId="0" applyNumberFormat="1" applyFont="1" applyFill="1" applyAlignment="1">
      <alignment horizontal="right" vertical="center"/>
    </xf>
    <xf numFmtId="0" fontId="64" fillId="10" borderId="0" xfId="0" applyNumberFormat="1" applyFont="1" applyFill="1" applyAlignment="1">
      <alignment horizontal="right" vertical="top"/>
    </xf>
    <xf numFmtId="0" fontId="26" fillId="10" borderId="0" xfId="0" applyNumberFormat="1" applyFont="1" applyFill="1" applyAlignment="1">
      <alignment horizontal="center" vertical="center"/>
    </xf>
    <xf numFmtId="0" fontId="35" fillId="0" borderId="0" xfId="0" applyNumberFormat="1" applyFont="1" applyAlignment="1">
      <alignment vertical="top" wrapText="1"/>
    </xf>
    <xf numFmtId="0" fontId="6" fillId="13" borderId="7" xfId="0" applyNumberFormat="1" applyFont="1" applyFill="1" applyBorder="1" applyAlignment="1">
      <alignment horizontal="center"/>
    </xf>
    <xf numFmtId="0" fontId="60" fillId="13" borderId="8" xfId="0" applyNumberFormat="1" applyFont="1" applyFill="1" applyBorder="1" applyAlignment="1">
      <alignment horizontal="left" vertical="center"/>
    </xf>
    <xf numFmtId="0" fontId="60" fillId="13" borderId="6" xfId="0" applyNumberFormat="1" applyFont="1" applyFill="1" applyBorder="1" applyAlignment="1">
      <alignment horizontal="left" vertical="center"/>
    </xf>
    <xf numFmtId="0" fontId="65" fillId="10" borderId="0" xfId="0" applyNumberFormat="1" applyFont="1" applyFill="1" applyAlignment="1">
      <alignment vertical="center"/>
    </xf>
    <xf numFmtId="0" fontId="65" fillId="10" borderId="0" xfId="0" applyNumberFormat="1" applyFont="1" applyFill="1" applyAlignment="1">
      <alignment vertical="center" wrapText="1"/>
    </xf>
    <xf numFmtId="49" fontId="6" fillId="10" borderId="5" xfId="0" applyFont="1" applyFill="1" applyBorder="1" applyAlignment="1">
      <alignment horizontal="center" vertical="center" wrapText="1"/>
    </xf>
    <xf numFmtId="0" fontId="6" fillId="10" borderId="5" xfId="0" applyNumberFormat="1" applyFont="1" applyFill="1" applyBorder="1" applyAlignment="1">
      <alignment vertical="center" wrapText="1"/>
    </xf>
    <xf numFmtId="0" fontId="52" fillId="10" borderId="0" xfId="0" applyNumberFormat="1" applyFont="1" applyFill="1" applyAlignment="1"/>
    <xf numFmtId="0" fontId="40" fillId="10" borderId="0" xfId="0" applyNumberFormat="1" applyFont="1" applyFill="1" applyAlignment="1"/>
    <xf numFmtId="0" fontId="48" fillId="10" borderId="0" xfId="0" applyNumberFormat="1" applyFont="1" applyFill="1" applyAlignment="1"/>
    <xf numFmtId="0" fontId="48" fillId="10" borderId="0" xfId="0" applyNumberFormat="1" applyFont="1" applyFill="1" applyAlignment="1">
      <alignment horizontal="center"/>
    </xf>
    <xf numFmtId="0" fontId="45" fillId="0" borderId="0" xfId="0" applyNumberFormat="1" applyFont="1" applyAlignment="1">
      <alignment vertical="center" wrapText="1"/>
    </xf>
    <xf numFmtId="0" fontId="47" fillId="10" borderId="0" xfId="0" applyNumberFormat="1" applyFont="1" applyFill="1" applyAlignment="1">
      <alignment horizontal="right" vertical="center"/>
    </xf>
    <xf numFmtId="0" fontId="47" fillId="10" borderId="0" xfId="0" applyNumberFormat="1" applyFont="1" applyFill="1" applyAlignment="1">
      <alignment horizontal="right" vertical="center" wrapText="1"/>
    </xf>
    <xf numFmtId="4" fontId="47" fillId="0" borderId="0" xfId="0" applyNumberFormat="1" applyFont="1" applyAlignment="1">
      <alignment horizontal="right" vertical="center" wrapText="1"/>
    </xf>
    <xf numFmtId="0" fontId="47" fillId="0" borderId="0" xfId="0" applyNumberFormat="1" applyFont="1" applyAlignment="1">
      <alignment horizontal="left" vertical="center" wrapText="1" indent="1"/>
    </xf>
    <xf numFmtId="0" fontId="6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wrapText="1"/>
    </xf>
    <xf numFmtId="0" fontId="51" fillId="0" borderId="0" xfId="0" applyNumberFormat="1" applyFont="1" applyAlignment="1">
      <alignment horizontal="center" vertical="center" wrapText="1"/>
    </xf>
    <xf numFmtId="0" fontId="6" fillId="10" borderId="17" xfId="0" applyNumberFormat="1" applyFont="1" applyFill="1" applyBorder="1" applyAlignment="1">
      <alignment vertical="center" wrapText="1"/>
    </xf>
    <xf numFmtId="49" fontId="26" fillId="10" borderId="8" xfId="0" applyFont="1" applyFill="1" applyBorder="1" applyAlignment="1">
      <alignment horizontal="center" vertical="center" wrapText="1"/>
    </xf>
    <xf numFmtId="0" fontId="66" fillId="0" borderId="0" xfId="0" applyNumberFormat="1" applyFont="1" applyAlignment="1">
      <alignment horizontal="center" vertical="center" wrapText="1"/>
    </xf>
    <xf numFmtId="49" fontId="59" fillId="0" borderId="5" xfId="0" applyFont="1" applyBorder="1" applyAlignment="1">
      <alignment horizontal="left" vertical="center" wrapText="1"/>
    </xf>
    <xf numFmtId="0" fontId="67" fillId="10" borderId="0" xfId="0" applyNumberFormat="1" applyFont="1" applyFill="1" applyAlignment="1">
      <alignment horizontal="center" vertical="center" wrapText="1"/>
    </xf>
    <xf numFmtId="49" fontId="59" fillId="0" borderId="10" xfId="0" applyFont="1" applyBorder="1" applyAlignment="1">
      <alignment horizontal="left" vertical="center" wrapText="1"/>
    </xf>
    <xf numFmtId="0" fontId="37" fillId="10" borderId="0" xfId="0" applyNumberFormat="1" applyFont="1" applyFill="1" applyAlignment="1"/>
    <xf numFmtId="0" fontId="37" fillId="10" borderId="0" xfId="0" applyNumberFormat="1" applyFont="1" applyFill="1" applyAlignment="1">
      <alignment vertical="center" wrapText="1"/>
    </xf>
    <xf numFmtId="49" fontId="37" fillId="0" borderId="0" xfId="0" applyFont="1" applyAlignment="1">
      <alignment vertical="center" wrapText="1"/>
    </xf>
    <xf numFmtId="14" fontId="6" fillId="13" borderId="8" xfId="0" applyNumberFormat="1" applyFont="1" applyFill="1" applyBorder="1" applyAlignment="1">
      <alignment horizontal="center" vertical="center" wrapText="1"/>
    </xf>
    <xf numFmtId="14" fontId="68" fillId="13" borderId="8" xfId="0" applyNumberFormat="1" applyFont="1" applyFill="1" applyBorder="1" applyAlignment="1">
      <alignment horizontal="center" vertical="center" wrapText="1"/>
    </xf>
    <xf numFmtId="0" fontId="37" fillId="0" borderId="0" xfId="0" applyNumberFormat="1" applyFont="1" applyAlignment="1">
      <alignment horizontal="left" vertical="center" wrapText="1"/>
    </xf>
    <xf numFmtId="49" fontId="37" fillId="0" borderId="0" xfId="0" applyFont="1" applyAlignment="1">
      <alignment horizontal="left" vertical="center" wrapText="1"/>
    </xf>
    <xf numFmtId="49" fontId="16" fillId="0" borderId="5" xfId="0" applyFont="1" applyBorder="1" applyAlignment="1">
      <alignment horizontal="left" vertical="center" wrapText="1"/>
    </xf>
    <xf numFmtId="14" fontId="6" fillId="16" borderId="5" xfId="0" applyNumberFormat="1" applyFont="1" applyFill="1" applyBorder="1" applyAlignment="1">
      <alignment horizontal="center" vertical="center" wrapText="1"/>
    </xf>
    <xf numFmtId="49" fontId="6" fillId="16" borderId="5" xfId="0" applyFont="1" applyFill="1" applyBorder="1" applyAlignment="1">
      <alignment horizontal="center" vertical="center" wrapText="1"/>
    </xf>
    <xf numFmtId="0" fontId="69" fillId="0" borderId="0" xfId="0" applyNumberFormat="1" applyFont="1" applyAlignment="1">
      <alignment horizontal="center" vertical="center" wrapText="1"/>
    </xf>
    <xf numFmtId="0" fontId="0" fillId="10" borderId="7" xfId="0" applyNumberFormat="1" applyFill="1" applyBorder="1" applyAlignment="1">
      <alignment horizontal="left" vertical="center" wrapText="1"/>
    </xf>
    <xf numFmtId="49" fontId="18" fillId="13" borderId="8" xfId="0" applyFont="1" applyFill="1" applyBorder="1" applyAlignment="1">
      <alignment horizontal="center" vertical="center"/>
    </xf>
    <xf numFmtId="0" fontId="36" fillId="0" borderId="0" xfId="0" applyNumberFormat="1" applyFont="1" applyAlignment="1">
      <alignment horizontal="center" vertical="center" wrapText="1"/>
    </xf>
    <xf numFmtId="0" fontId="70" fillId="0" borderId="0" xfId="0" applyNumberFormat="1" applyFont="1" applyAlignment="1">
      <alignment vertical="center" wrapText="1"/>
    </xf>
    <xf numFmtId="49" fontId="36" fillId="0" borderId="0" xfId="0" applyFont="1" applyAlignment="1">
      <alignment horizontal="center" vertical="center" wrapText="1"/>
    </xf>
    <xf numFmtId="49" fontId="6" fillId="0" borderId="0" xfId="0" applyFont="1" applyAlignment="1">
      <alignment horizontal="center" vertical="top" wrapText="1"/>
    </xf>
    <xf numFmtId="49" fontId="6" fillId="15" borderId="5" xfId="0" applyFont="1" applyFill="1" applyBorder="1" applyAlignment="1" applyProtection="1">
      <alignment vertical="center" wrapText="1"/>
      <protection locked="0"/>
    </xf>
    <xf numFmtId="4" fontId="6" fillId="12" borderId="5"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vertical="top" wrapText="1"/>
    </xf>
    <xf numFmtId="0" fontId="71" fillId="0" borderId="0" xfId="0" applyNumberFormat="1" applyFont="1" applyAlignment="1">
      <alignment vertical="center" wrapText="1"/>
    </xf>
    <xf numFmtId="0" fontId="41" fillId="0" borderId="0" xfId="0" applyNumberFormat="1" applyFont="1" applyAlignment="1">
      <alignment vertical="center" wrapText="1"/>
    </xf>
    <xf numFmtId="169" fontId="6" fillId="12" borderId="5" xfId="0" applyNumberFormat="1" applyFont="1" applyFill="1" applyBorder="1" applyAlignment="1" applyProtection="1">
      <alignment horizontal="right" vertical="center" wrapText="1"/>
      <protection locked="0"/>
    </xf>
    <xf numFmtId="0" fontId="6" fillId="0" borderId="21" xfId="0" applyNumberFormat="1" applyFont="1" applyBorder="1" applyAlignment="1">
      <alignment horizontal="center" vertical="center" wrapText="1"/>
    </xf>
    <xf numFmtId="0" fontId="6" fillId="15" borderId="5" xfId="0" applyNumberFormat="1" applyFont="1" applyFill="1" applyBorder="1" applyAlignment="1" applyProtection="1">
      <alignment horizontal="left" vertical="center" wrapText="1" indent="2"/>
      <protection locked="0"/>
    </xf>
    <xf numFmtId="49" fontId="37" fillId="0" borderId="0" xfId="0" applyFont="1" applyAlignment="1">
      <alignment horizontal="center" vertical="center" wrapText="1"/>
    </xf>
    <xf numFmtId="0" fontId="37" fillId="0" borderId="21" xfId="0" applyNumberFormat="1" applyFont="1" applyBorder="1" applyAlignment="1">
      <alignment horizontal="center" vertical="center" wrapText="1"/>
    </xf>
    <xf numFmtId="0" fontId="37" fillId="0" borderId="5" xfId="0" applyNumberFormat="1" applyFont="1" applyBorder="1" applyAlignment="1">
      <alignment horizontal="left" vertical="center" wrapText="1" indent="2"/>
    </xf>
    <xf numFmtId="0" fontId="37" fillId="0" borderId="5" xfId="0" applyNumberFormat="1" applyFont="1" applyBorder="1" applyAlignment="1">
      <alignment horizontal="center" vertical="center" wrapText="1"/>
    </xf>
    <xf numFmtId="0" fontId="37" fillId="0" borderId="5" xfId="0" applyNumberFormat="1" applyFont="1" applyBorder="1" applyAlignment="1">
      <alignment vertical="center" wrapText="1"/>
    </xf>
    <xf numFmtId="0" fontId="6" fillId="0" borderId="5" xfId="0" applyNumberFormat="1" applyFont="1" applyBorder="1" applyAlignment="1">
      <alignment horizontal="left" vertical="center" wrapText="1" indent="3"/>
    </xf>
    <xf numFmtId="49" fontId="6" fillId="15" borderId="5" xfId="0" applyFont="1" applyFill="1" applyBorder="1" applyAlignment="1" applyProtection="1">
      <alignment horizontal="center" vertical="center" wrapText="1"/>
      <protection locked="0"/>
    </xf>
    <xf numFmtId="0" fontId="6" fillId="12" borderId="5" xfId="0" applyNumberFormat="1" applyFont="1" applyFill="1" applyBorder="1" applyAlignment="1" applyProtection="1">
      <alignment horizontal="left" vertical="center" wrapText="1"/>
      <protection locked="0"/>
    </xf>
    <xf numFmtId="4" fontId="6" fillId="15" borderId="5" xfId="0" applyNumberFormat="1" applyFont="1" applyFill="1" applyBorder="1" applyAlignment="1" applyProtection="1">
      <alignment horizontal="right" vertical="center" wrapText="1"/>
      <protection locked="0"/>
    </xf>
    <xf numFmtId="4" fontId="6" fillId="11" borderId="5" xfId="0" applyNumberFormat="1" applyFont="1" applyFill="1" applyBorder="1" applyAlignment="1">
      <alignment horizontal="right" vertical="center" wrapText="1"/>
    </xf>
    <xf numFmtId="0" fontId="6" fillId="0" borderId="5" xfId="0" applyNumberFormat="1" applyFont="1" applyBorder="1" applyAlignment="1">
      <alignment horizontal="left" vertical="center" wrapText="1" indent="1"/>
    </xf>
    <xf numFmtId="49" fontId="59" fillId="0" borderId="0" xfId="0" applyFont="1" applyAlignment="1">
      <alignment horizontal="center" vertical="center" wrapText="1"/>
    </xf>
    <xf numFmtId="0" fontId="72" fillId="0" borderId="0" xfId="0" applyNumberFormat="1" applyFont="1" applyAlignment="1">
      <alignment vertical="center" wrapText="1"/>
    </xf>
    <xf numFmtId="4" fontId="59" fillId="0" borderId="5" xfId="0" applyNumberFormat="1" applyFont="1" applyBorder="1" applyAlignment="1">
      <alignment horizontal="right" vertical="center" wrapText="1"/>
    </xf>
    <xf numFmtId="49" fontId="6" fillId="13" borderId="7" xfId="0" applyFont="1" applyFill="1" applyBorder="1" applyAlignment="1">
      <alignment vertical="center" wrapText="1"/>
    </xf>
    <xf numFmtId="0" fontId="6" fillId="13" borderId="8" xfId="0" applyNumberFormat="1" applyFont="1" applyFill="1" applyBorder="1" applyAlignment="1">
      <alignment vertical="center" wrapText="1"/>
    </xf>
    <xf numFmtId="0" fontId="36" fillId="13" borderId="6" xfId="0" applyNumberFormat="1" applyFont="1" applyFill="1" applyBorder="1" applyAlignment="1">
      <alignment vertical="center" wrapText="1"/>
    </xf>
    <xf numFmtId="14" fontId="6" fillId="0" borderId="0" xfId="0" applyNumberFormat="1" applyFont="1" applyAlignment="1">
      <alignment horizontal="center" vertical="center" wrapText="1"/>
    </xf>
    <xf numFmtId="49" fontId="18" fillId="0" borderId="0" xfId="0" applyFont="1" applyAlignment="1">
      <alignment horizontal="center" vertical="center"/>
    </xf>
    <xf numFmtId="0" fontId="6" fillId="0" borderId="5" xfId="0" applyNumberFormat="1" applyFont="1" applyBorder="1" applyAlignment="1">
      <alignment horizontal="left" vertical="center" wrapText="1" indent="2"/>
    </xf>
    <xf numFmtId="169" fontId="6" fillId="15" borderId="5" xfId="0" applyNumberFormat="1" applyFont="1" applyFill="1" applyBorder="1" applyAlignment="1" applyProtection="1">
      <alignment horizontal="right" vertical="center" wrapText="1"/>
      <protection locked="0"/>
    </xf>
    <xf numFmtId="0" fontId="6" fillId="0" borderId="10" xfId="0" applyNumberFormat="1" applyFont="1" applyBorder="1" applyAlignment="1">
      <alignment horizontal="center" vertical="center" wrapText="1"/>
    </xf>
    <xf numFmtId="4" fontId="6" fillId="11" borderId="10"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73" fillId="0" borderId="0" xfId="0" applyNumberFormat="1" applyFont="1" applyAlignment="1">
      <alignment vertical="center"/>
    </xf>
    <xf numFmtId="49" fontId="26" fillId="0" borderId="0" xfId="0" applyFont="1" applyAlignment="1">
      <alignment horizontal="center" vertical="center" wrapText="1"/>
    </xf>
    <xf numFmtId="49" fontId="26" fillId="0" borderId="5" xfId="0" applyFont="1" applyBorder="1" applyAlignment="1">
      <alignment horizontal="center" vertical="center" wrapText="1"/>
    </xf>
    <xf numFmtId="0" fontId="37" fillId="0" borderId="0" xfId="0" applyNumberFormat="1" applyFont="1" applyAlignment="1">
      <alignment horizontal="center" vertical="center"/>
    </xf>
    <xf numFmtId="0" fontId="6" fillId="13" borderId="7" xfId="0" applyNumberFormat="1" applyFont="1" applyFill="1" applyBorder="1" applyAlignment="1">
      <alignment horizontal="center" vertical="center" wrapText="1"/>
    </xf>
    <xf numFmtId="0" fontId="0" fillId="13" borderId="6" xfId="0" applyNumberFormat="1" applyFill="1" applyBorder="1" applyAlignment="1">
      <alignment vertical="center"/>
    </xf>
    <xf numFmtId="49" fontId="6" fillId="0" borderId="10" xfId="0" applyFont="1" applyBorder="1" applyAlignment="1">
      <alignment horizontal="center" vertical="center" wrapText="1"/>
    </xf>
    <xf numFmtId="49" fontId="62" fillId="0" borderId="5" xfId="0" applyFont="1" applyBorder="1" applyAlignment="1">
      <alignment horizontal="left" vertical="center" wrapText="1" indent="1"/>
    </xf>
    <xf numFmtId="0" fontId="61" fillId="0" borderId="0" xfId="0" applyNumberFormat="1" applyFont="1" applyAlignment="1">
      <alignment vertical="center"/>
    </xf>
    <xf numFmtId="49" fontId="30" fillId="13" borderId="6" xfId="0" applyFont="1" applyFill="1" applyBorder="1" applyAlignment="1">
      <alignment horizontal="left" vertical="center" indent="1"/>
    </xf>
    <xf numFmtId="49" fontId="18" fillId="13" borderId="6" xfId="0" applyFont="1" applyFill="1" applyBorder="1" applyAlignment="1">
      <alignment horizontal="right" vertical="center" wrapText="1"/>
    </xf>
    <xf numFmtId="0" fontId="62" fillId="17" borderId="0" xfId="0" applyNumberFormat="1" applyFont="1" applyFill="1">
      <alignment vertical="top"/>
    </xf>
    <xf numFmtId="49" fontId="22" fillId="0" borderId="0" xfId="0" applyFont="1" applyAlignment="1">
      <alignment horizontal="center" vertical="center" wrapText="1"/>
    </xf>
    <xf numFmtId="9" fontId="18" fillId="0" borderId="0" xfId="0" applyNumberFormat="1" applyFont="1" applyAlignment="1">
      <alignment horizontal="center" vertical="center" wrapText="1"/>
    </xf>
    <xf numFmtId="49" fontId="50" fillId="0" borderId="0" xfId="0" applyFont="1" applyAlignment="1">
      <alignment horizontal="center" vertical="center" wrapText="1"/>
    </xf>
    <xf numFmtId="0" fontId="36" fillId="0" borderId="0" xfId="0" applyNumberFormat="1" applyFont="1">
      <alignment vertical="top"/>
    </xf>
    <xf numFmtId="0" fontId="61" fillId="0" borderId="0" xfId="0" applyNumberFormat="1" applyFont="1">
      <alignment vertical="top"/>
    </xf>
    <xf numFmtId="0" fontId="74" fillId="0" borderId="0" xfId="0" applyNumberFormat="1" applyFont="1">
      <alignment vertical="top"/>
    </xf>
    <xf numFmtId="0" fontId="37" fillId="0" borderId="5" xfId="0" applyNumberFormat="1" applyFont="1" applyBorder="1" applyAlignment="1">
      <alignment horizontal="left" vertical="center" wrapText="1"/>
    </xf>
    <xf numFmtId="49" fontId="0" fillId="0" borderId="6" xfId="0" applyBorder="1" applyAlignment="1">
      <alignment horizontal="center" vertical="center" wrapText="1"/>
    </xf>
    <xf numFmtId="4" fontId="0" fillId="11" borderId="5" xfId="0" applyNumberFormat="1" applyFill="1" applyBorder="1" applyAlignment="1">
      <alignment horizontal="right" vertical="center" wrapText="1"/>
    </xf>
    <xf numFmtId="49" fontId="0" fillId="0" borderId="22" xfId="0" applyBorder="1" applyAlignment="1">
      <alignment horizontal="center" vertical="center" wrapText="1"/>
    </xf>
    <xf numFmtId="4" fontId="0" fillId="15" borderId="5" xfId="0" applyNumberFormat="1" applyFill="1" applyBorder="1" applyAlignment="1" applyProtection="1">
      <alignment horizontal="right" vertical="center" wrapText="1"/>
      <protection locked="0"/>
    </xf>
    <xf numFmtId="49" fontId="0" fillId="15" borderId="5" xfId="0" applyFill="1" applyBorder="1" applyAlignment="1" applyProtection="1">
      <alignment horizontal="center" vertical="center" wrapText="1"/>
      <protection locked="0"/>
    </xf>
    <xf numFmtId="4" fontId="36" fillId="0" borderId="5" xfId="0" applyNumberFormat="1" applyFont="1" applyBorder="1" applyAlignment="1">
      <alignment horizontal="right" vertical="center" wrapText="1"/>
    </xf>
    <xf numFmtId="49" fontId="0" fillId="13" borderId="23" xfId="0" applyFill="1" applyBorder="1" applyAlignment="1">
      <alignment horizontal="center" vertical="center"/>
    </xf>
    <xf numFmtId="49" fontId="0" fillId="13" borderId="8" xfId="0" applyFill="1" applyBorder="1" applyAlignment="1">
      <alignment horizontal="center" vertical="center"/>
    </xf>
    <xf numFmtId="0" fontId="30" fillId="0" borderId="5" xfId="0" applyNumberFormat="1" applyFont="1" applyBorder="1" applyAlignment="1">
      <alignment horizontal="left" vertical="center" indent="1"/>
    </xf>
    <xf numFmtId="0" fontId="35" fillId="0" borderId="0" xfId="0" applyNumberFormat="1" applyFont="1" applyAlignment="1">
      <alignment horizontal="right" vertical="top" wrapText="1"/>
    </xf>
    <xf numFmtId="0" fontId="6" fillId="0" borderId="0" xfId="0" applyNumberFormat="1" applyFont="1" applyAlignment="1">
      <alignment horizontal="left" vertical="top" wrapText="1"/>
    </xf>
    <xf numFmtId="4" fontId="6" fillId="0" borderId="5" xfId="0" applyNumberFormat="1" applyFont="1" applyBorder="1" applyAlignment="1">
      <alignment horizontal="center" vertical="center" wrapText="1"/>
    </xf>
    <xf numFmtId="49" fontId="16" fillId="12" borderId="7" xfId="0" applyFont="1" applyFill="1" applyBorder="1" applyAlignment="1" applyProtection="1">
      <alignment horizontal="left" vertical="center" wrapText="1"/>
      <protection locked="0"/>
    </xf>
    <xf numFmtId="0" fontId="35" fillId="0" borderId="0" xfId="0" applyNumberFormat="1" applyFont="1">
      <alignment vertical="top"/>
    </xf>
    <xf numFmtId="49" fontId="6" fillId="0" borderId="24" xfId="0" applyFont="1" applyBorder="1" applyAlignment="1">
      <alignment horizontal="center" vertical="center" wrapText="1"/>
    </xf>
    <xf numFmtId="0" fontId="6" fillId="0" borderId="24" xfId="0" applyNumberFormat="1" applyFont="1" applyBorder="1" applyAlignment="1">
      <alignment horizontal="left" vertical="center" wrapText="1"/>
    </xf>
    <xf numFmtId="0" fontId="6" fillId="0" borderId="24" xfId="0" applyNumberFormat="1" applyFont="1" applyBorder="1" applyAlignment="1">
      <alignment horizontal="left" vertical="center" wrapText="1" indent="1"/>
    </xf>
    <xf numFmtId="4" fontId="6" fillId="15" borderId="24" xfId="0" applyNumberFormat="1" applyFont="1" applyFill="1" applyBorder="1" applyAlignment="1" applyProtection="1">
      <alignment horizontal="right" vertical="center" wrapText="1"/>
      <protection locked="0"/>
    </xf>
    <xf numFmtId="49" fontId="6" fillId="0" borderId="25" xfId="0" applyFont="1" applyBorder="1" applyAlignment="1">
      <alignment horizontal="center" vertical="center" wrapText="1"/>
    </xf>
    <xf numFmtId="0" fontId="6" fillId="0" borderId="24" xfId="0" applyNumberFormat="1" applyFont="1" applyBorder="1" applyAlignment="1">
      <alignment horizontal="left" vertical="center" wrapText="1" indent="2"/>
    </xf>
    <xf numFmtId="49" fontId="6" fillId="0" borderId="0" xfId="0" applyFont="1" applyAlignment="1">
      <alignment horizontal="left" vertical="center" wrapText="1"/>
    </xf>
    <xf numFmtId="3" fontId="6" fillId="0" borderId="7" xfId="0" applyNumberFormat="1" applyFont="1" applyBorder="1" applyAlignment="1">
      <alignment vertical="center" wrapText="1"/>
    </xf>
    <xf numFmtId="0" fontId="6" fillId="0" borderId="6" xfId="0" applyNumberFormat="1" applyFont="1" applyBorder="1" applyAlignment="1">
      <alignment vertical="center" wrapText="1"/>
    </xf>
    <xf numFmtId="4" fontId="6" fillId="12" borderId="7" xfId="0" applyNumberFormat="1" applyFont="1" applyFill="1" applyBorder="1" applyAlignment="1" applyProtection="1">
      <alignment horizontal="right" vertical="center" wrapText="1"/>
      <protection locked="0"/>
    </xf>
    <xf numFmtId="4" fontId="6" fillId="0" borderId="7"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0" fontId="6" fillId="0" borderId="7" xfId="0" applyNumberFormat="1" applyFont="1" applyBorder="1" applyAlignment="1">
      <alignment horizontal="center" vertical="center" wrapText="1"/>
    </xf>
    <xf numFmtId="3" fontId="6" fillId="15" borderId="7" xfId="0" applyNumberFormat="1" applyFont="1" applyFill="1" applyBorder="1" applyAlignment="1" applyProtection="1">
      <alignment vertical="center" wrapText="1"/>
      <protection locked="0"/>
    </xf>
    <xf numFmtId="49" fontId="6" fillId="12" borderId="7" xfId="0" applyFont="1" applyFill="1" applyBorder="1" applyAlignment="1" applyProtection="1">
      <alignment horizontal="left" vertical="center" wrapText="1"/>
      <protection locked="0"/>
    </xf>
    <xf numFmtId="4" fontId="6" fillId="11" borderId="7" xfId="0" applyNumberFormat="1" applyFont="1" applyFill="1" applyBorder="1" applyAlignment="1">
      <alignment horizontal="right" vertical="center" wrapText="1"/>
    </xf>
    <xf numFmtId="0" fontId="0" fillId="0" borderId="7" xfId="0" applyNumberFormat="1" applyBorder="1" applyAlignment="1">
      <alignment horizontal="center" vertical="center"/>
    </xf>
    <xf numFmtId="49" fontId="0" fillId="0" borderId="5" xfId="0" applyBorder="1" applyAlignment="1">
      <alignment horizontal="left" vertical="center" wrapText="1" indent="1"/>
    </xf>
    <xf numFmtId="0" fontId="6" fillId="0" borderId="6" xfId="0" applyNumberFormat="1" applyFont="1" applyBorder="1" applyAlignment="1">
      <alignment horizontal="center" vertical="center" wrapText="1"/>
    </xf>
    <xf numFmtId="49" fontId="0" fillId="0" borderId="7" xfId="0" applyBorder="1" applyAlignment="1">
      <alignment horizontal="center" vertical="center"/>
    </xf>
    <xf numFmtId="49" fontId="0" fillId="0" borderId="5" xfId="0" applyBorder="1" applyAlignment="1">
      <alignment vertical="center" wrapText="1"/>
    </xf>
    <xf numFmtId="0" fontId="6" fillId="13" borderId="12" xfId="0" applyNumberFormat="1" applyFont="1" applyFill="1" applyBorder="1" applyAlignment="1">
      <alignment vertical="center" wrapText="1"/>
    </xf>
    <xf numFmtId="0" fontId="6" fillId="0" borderId="8" xfId="0" applyNumberFormat="1" applyFont="1" applyBorder="1" applyAlignment="1">
      <alignment horizontal="center" vertical="center" wrapText="1"/>
    </xf>
    <xf numFmtId="0" fontId="6" fillId="13" borderId="20" xfId="0" applyNumberFormat="1" applyFont="1" applyFill="1" applyBorder="1" applyAlignment="1">
      <alignment vertical="center" wrapText="1"/>
    </xf>
    <xf numFmtId="49" fontId="6" fillId="15" borderId="7" xfId="0" applyFon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0" fontId="5" fillId="0" borderId="0" xfId="0" applyNumberFormat="1" applyFont="1" applyAlignment="1">
      <alignment horizontal="left" vertical="center" wrapText="1" indent="1"/>
    </xf>
    <xf numFmtId="0" fontId="75" fillId="0" borderId="0" xfId="0" applyNumberFormat="1" applyFont="1" applyAlignment="1">
      <alignment vertical="center" wrapText="1"/>
    </xf>
    <xf numFmtId="0" fontId="75" fillId="10" borderId="0" xfId="0" applyNumberFormat="1" applyFont="1" applyFill="1" applyAlignment="1">
      <alignment horizontal="center" vertical="center" wrapText="1"/>
    </xf>
    <xf numFmtId="0" fontId="75" fillId="10" borderId="0" xfId="0" applyNumberFormat="1" applyFont="1" applyFill="1" applyAlignment="1">
      <alignment horizontal="right" vertical="center" wrapText="1"/>
    </xf>
    <xf numFmtId="0" fontId="36" fillId="0" borderId="0" xfId="0" applyNumberFormat="1" applyFont="1" applyAlignment="1">
      <alignment horizontal="center" vertical="top"/>
    </xf>
    <xf numFmtId="49" fontId="6" fillId="16" borderId="5" xfId="0" applyFont="1" applyFill="1" applyBorder="1" applyAlignment="1">
      <alignment horizontal="left" vertical="center" wrapText="1" indent="1"/>
    </xf>
    <xf numFmtId="0" fontId="6" fillId="0" borderId="7" xfId="0" applyNumberFormat="1" applyFont="1" applyBorder="1" applyAlignment="1">
      <alignment vertical="center" wrapText="1"/>
    </xf>
    <xf numFmtId="0" fontId="6" fillId="0" borderId="0" xfId="0" applyNumberFormat="1" applyFont="1" applyAlignment="1">
      <alignment horizontal="right" vertical="center"/>
    </xf>
    <xf numFmtId="49" fontId="16" fillId="13" borderId="6" xfId="0" applyFont="1" applyFill="1" applyBorder="1" applyAlignment="1">
      <alignment horizontal="left" vertical="center" wrapText="1"/>
    </xf>
    <xf numFmtId="0" fontId="76" fillId="0" borderId="0" xfId="0" applyNumberFormat="1" applyFont="1" applyAlignment="1">
      <alignment vertical="center"/>
    </xf>
    <xf numFmtId="0" fontId="77" fillId="0" borderId="0" xfId="0" applyNumberFormat="1" applyFont="1" applyAlignment="1">
      <alignment vertical="center"/>
    </xf>
    <xf numFmtId="49" fontId="37" fillId="0" borderId="15" xfId="0" applyFont="1" applyBorder="1">
      <alignment vertical="top"/>
    </xf>
    <xf numFmtId="0" fontId="37" fillId="0" borderId="15" xfId="0" applyNumberFormat="1" applyFont="1" applyBorder="1" applyAlignment="1">
      <alignment vertical="center" wrapText="1"/>
    </xf>
    <xf numFmtId="0" fontId="6" fillId="0" borderId="6" xfId="0" applyNumberFormat="1" applyFont="1" applyBorder="1" applyAlignment="1">
      <alignment horizontal="left" vertical="center" wrapText="1" indent="1"/>
    </xf>
    <xf numFmtId="0" fontId="58" fillId="0" borderId="15" xfId="0" applyNumberFormat="1" applyFont="1" applyBorder="1" applyAlignment="1">
      <alignment vertical="center" wrapText="1"/>
    </xf>
    <xf numFmtId="4" fontId="6" fillId="0" borderId="24" xfId="0" applyNumberFormat="1" applyFont="1" applyBorder="1" applyAlignment="1">
      <alignment horizontal="center" vertical="center" wrapText="1"/>
    </xf>
    <xf numFmtId="0" fontId="6" fillId="0" borderId="26" xfId="0" applyNumberFormat="1" applyFont="1" applyBorder="1" applyAlignment="1">
      <alignment horizontal="left" vertical="center" wrapText="1"/>
    </xf>
    <xf numFmtId="0" fontId="6" fillId="0" borderId="26" xfId="0" applyNumberFormat="1" applyFont="1" applyBorder="1" applyAlignment="1">
      <alignment horizontal="left" vertical="center" wrapText="1" indent="1"/>
    </xf>
    <xf numFmtId="4" fontId="6" fillId="15" borderId="26" xfId="0" applyNumberFormat="1" applyFont="1" applyFill="1" applyBorder="1" applyAlignment="1" applyProtection="1">
      <alignment horizontal="right" vertical="center" wrapText="1"/>
      <protection locked="0"/>
    </xf>
    <xf numFmtId="4" fontId="6" fillId="0" borderId="26" xfId="0" applyNumberFormat="1" applyFont="1" applyBorder="1" applyAlignment="1">
      <alignment horizontal="center" vertical="center" wrapText="1"/>
    </xf>
    <xf numFmtId="49" fontId="6" fillId="0" borderId="27" xfId="0" applyFont="1" applyBorder="1" applyAlignment="1">
      <alignment horizontal="center" vertical="center" wrapText="1"/>
    </xf>
    <xf numFmtId="4" fontId="6" fillId="15" borderId="7" xfId="0" applyNumberFormat="1" applyFont="1" applyFill="1" applyBorder="1" applyAlignment="1" applyProtection="1">
      <alignment horizontal="right" vertical="center" wrapText="1"/>
      <protection locked="0"/>
    </xf>
    <xf numFmtId="4" fontId="6" fillId="15" borderId="27" xfId="0" applyNumberFormat="1" applyFont="1" applyFill="1" applyBorder="1" applyAlignment="1" applyProtection="1">
      <alignment horizontal="right" vertical="center" wrapText="1"/>
      <protection locked="0"/>
    </xf>
    <xf numFmtId="0" fontId="36" fillId="0" borderId="0" xfId="0" applyNumberFormat="1" applyFont="1" applyAlignment="1">
      <alignment horizontal="left" vertical="center" wrapText="1"/>
    </xf>
    <xf numFmtId="0" fontId="41" fillId="0" borderId="0" xfId="0" applyNumberFormat="1" applyFont="1" applyAlignment="1">
      <alignment horizontal="left" vertical="center" wrapText="1"/>
    </xf>
    <xf numFmtId="4" fontId="6" fillId="0" borderId="28" xfId="0" applyNumberFormat="1" applyFont="1" applyBorder="1" applyAlignment="1">
      <alignment horizontal="center" vertical="center" wrapText="1"/>
    </xf>
    <xf numFmtId="4" fontId="6" fillId="15" borderId="28" xfId="0" applyNumberFormat="1" applyFont="1" applyFill="1" applyBorder="1" applyAlignment="1" applyProtection="1">
      <alignment horizontal="right" vertical="center" wrapText="1"/>
      <protection locked="0"/>
    </xf>
    <xf numFmtId="4" fontId="6" fillId="15" borderId="16" xfId="0" applyNumberFormat="1" applyFont="1" applyFill="1" applyBorder="1" applyAlignment="1" applyProtection="1">
      <alignment horizontal="right" vertical="center" wrapText="1"/>
      <protection locked="0"/>
    </xf>
    <xf numFmtId="49" fontId="6" fillId="0" borderId="26" xfId="0" applyFont="1" applyBorder="1" applyAlignment="1">
      <alignment horizontal="center" vertical="center" wrapText="1"/>
    </xf>
    <xf numFmtId="0" fontId="6" fillId="0" borderId="28" xfId="0" applyNumberFormat="1" applyFont="1" applyBorder="1" applyAlignment="1">
      <alignment horizontal="left" vertical="center" wrapText="1"/>
    </xf>
    <xf numFmtId="0" fontId="6" fillId="0" borderId="13" xfId="0" applyNumberFormat="1" applyFont="1" applyBorder="1" applyAlignment="1">
      <alignment vertical="center" wrapText="1"/>
    </xf>
    <xf numFmtId="169" fontId="6" fillId="11" borderId="5" xfId="0" applyNumberFormat="1" applyFont="1" applyFill="1" applyBorder="1" applyAlignment="1">
      <alignment horizontal="right" vertical="center" wrapText="1"/>
    </xf>
    <xf numFmtId="0" fontId="60" fillId="10" borderId="0" xfId="0" applyNumberFormat="1" applyFont="1" applyFill="1" applyAlignment="1">
      <alignment horizontal="right" vertical="center"/>
    </xf>
    <xf numFmtId="49" fontId="0" fillId="0" borderId="5" xfId="0" applyBorder="1">
      <alignment vertical="top"/>
    </xf>
    <xf numFmtId="49" fontId="0" fillId="4" borderId="10" xfId="0" applyFill="1" applyBorder="1">
      <alignment vertical="top"/>
    </xf>
    <xf numFmtId="49" fontId="0" fillId="0" borderId="7" xfId="0" applyBorder="1">
      <alignment vertical="top"/>
    </xf>
    <xf numFmtId="49" fontId="0" fillId="0" borderId="7" xfId="0" applyBorder="1" applyAlignment="1">
      <alignment horizontal="center" vertical="top"/>
    </xf>
    <xf numFmtId="49" fontId="0" fillId="0" borderId="8" xfId="0" applyBorder="1" applyAlignment="1">
      <alignment horizontal="center" vertical="top"/>
    </xf>
    <xf numFmtId="0" fontId="18" fillId="10" borderId="0" xfId="0" applyNumberFormat="1" applyFont="1" applyFill="1" applyAlignment="1">
      <alignment vertical="center" wrapText="1"/>
    </xf>
    <xf numFmtId="0" fontId="16" fillId="0" borderId="0" xfId="0" applyNumberFormat="1" applyFont="1" applyAlignment="1">
      <alignment horizontal="left" vertical="center" indent="1"/>
    </xf>
    <xf numFmtId="0" fontId="0" fillId="10" borderId="0" xfId="0" applyNumberFormat="1" applyFill="1" applyAlignment="1">
      <alignment horizontal="right" vertical="center" wrapText="1" indent="1"/>
    </xf>
    <xf numFmtId="0" fontId="0" fillId="10" borderId="0" xfId="0" applyNumberFormat="1" applyFill="1" applyAlignment="1">
      <alignment horizontal="left" vertical="center" wrapText="1" indent="1"/>
    </xf>
    <xf numFmtId="14" fontId="6" fillId="10" borderId="0" xfId="0" applyNumberFormat="1" applyFont="1" applyFill="1" applyAlignment="1">
      <alignment horizontal="center" vertical="center" wrapText="1"/>
    </xf>
    <xf numFmtId="167" fontId="6" fillId="0" borderId="7"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8" fillId="10" borderId="0" xfId="0" applyNumberFormat="1" applyFont="1" applyFill="1" applyAlignment="1">
      <alignment horizontal="left" vertical="center" wrapText="1"/>
    </xf>
    <xf numFmtId="14" fontId="79" fillId="0" borderId="0" xfId="0" applyNumberFormat="1" applyFont="1" applyAlignment="1">
      <alignment horizontal="center" vertical="center" wrapText="1"/>
    </xf>
    <xf numFmtId="14" fontId="80" fillId="0" borderId="5" xfId="0" applyNumberFormat="1" applyFont="1" applyBorder="1" applyAlignment="1">
      <alignment horizontal="left" vertical="center" wrapText="1"/>
    </xf>
    <xf numFmtId="49" fontId="6" fillId="13" borderId="12" xfId="0" applyFont="1" applyFill="1" applyBorder="1" applyAlignment="1">
      <alignment horizontal="center" vertical="center" wrapText="1"/>
    </xf>
    <xf numFmtId="49" fontId="6" fillId="11" borderId="16" xfId="0" applyFont="1" applyFill="1" applyBorder="1" applyAlignment="1">
      <alignment horizontal="center" vertical="center" wrapText="1"/>
    </xf>
    <xf numFmtId="49" fontId="36" fillId="0" borderId="5" xfId="0" applyFont="1" applyBorder="1" applyAlignment="1">
      <alignment horizontal="left" vertical="center" wrapText="1"/>
    </xf>
    <xf numFmtId="14" fontId="6" fillId="16" borderId="16" xfId="0" applyNumberFormat="1" applyFont="1" applyFill="1" applyBorder="1" applyAlignment="1">
      <alignment horizontal="left" vertical="center" wrapText="1" indent="1"/>
    </xf>
    <xf numFmtId="49" fontId="6" fillId="13" borderId="7" xfId="0" applyFont="1" applyFill="1" applyBorder="1" applyAlignment="1">
      <alignment horizontal="right" vertical="center" wrapText="1"/>
    </xf>
    <xf numFmtId="0" fontId="37" fillId="0" borderId="16" xfId="0" applyNumberFormat="1" applyFont="1" applyBorder="1" applyAlignment="1">
      <alignment horizontal="center" vertical="center" wrapText="1"/>
    </xf>
    <xf numFmtId="49" fontId="6" fillId="0" borderId="6" xfId="0" applyFont="1" applyBorder="1" applyAlignment="1">
      <alignment horizontal="center" vertical="top"/>
    </xf>
    <xf numFmtId="49" fontId="6" fillId="0" borderId="5" xfId="0" applyFont="1" applyBorder="1" applyAlignment="1">
      <alignment horizontal="center" vertical="top"/>
    </xf>
    <xf numFmtId="49" fontId="6" fillId="0" borderId="7" xfId="0" applyFont="1" applyBorder="1" applyAlignment="1">
      <alignment horizontal="center" vertical="top"/>
    </xf>
    <xf numFmtId="0" fontId="26" fillId="0" borderId="17" xfId="0" applyNumberFormat="1" applyFont="1" applyBorder="1" applyAlignment="1">
      <alignment vertical="top" wrapText="1"/>
    </xf>
    <xf numFmtId="0" fontId="26" fillId="0" borderId="0" xfId="0" applyNumberFormat="1" applyFont="1" applyAlignment="1">
      <alignment vertical="top" wrapText="1"/>
    </xf>
    <xf numFmtId="0" fontId="36" fillId="0" borderId="16" xfId="0" applyNumberFormat="1" applyFont="1" applyBorder="1" applyAlignment="1">
      <alignment horizontal="center" vertical="center" wrapText="1"/>
    </xf>
    <xf numFmtId="0" fontId="37" fillId="0" borderId="5" xfId="0" applyNumberFormat="1" applyFont="1" applyBorder="1" applyAlignment="1">
      <alignment horizontal="center" vertical="center"/>
    </xf>
    <xf numFmtId="49" fontId="62" fillId="15" borderId="5" xfId="0" applyFont="1" applyFill="1" applyBorder="1" applyAlignment="1" applyProtection="1">
      <alignment horizontal="left" vertical="center" wrapText="1" indent="1"/>
      <protection locked="0"/>
    </xf>
    <xf numFmtId="0" fontId="36" fillId="0" borderId="15" xfId="0" applyNumberFormat="1" applyFont="1" applyBorder="1" applyAlignment="1">
      <alignment vertical="center"/>
    </xf>
    <xf numFmtId="0" fontId="6" fillId="11" borderId="7" xfId="0" applyNumberFormat="1" applyFont="1" applyFill="1" applyBorder="1" applyAlignment="1">
      <alignment horizontal="left" vertical="top" wrapText="1" indent="1"/>
    </xf>
    <xf numFmtId="3" fontId="6" fillId="12" borderId="7" xfId="0" applyNumberFormat="1" applyFont="1" applyFill="1" applyBorder="1" applyAlignment="1" applyProtection="1">
      <alignment horizontal="right" vertical="center" wrapText="1"/>
      <protection locked="0"/>
    </xf>
    <xf numFmtId="0" fontId="16" fillId="0" borderId="0" xfId="0" applyNumberFormat="1" applyFont="1" applyAlignment="1">
      <alignment vertical="center" wrapText="1"/>
    </xf>
    <xf numFmtId="0" fontId="0" fillId="0" borderId="13" xfId="0" applyNumberFormat="1" applyBorder="1" applyAlignment="1">
      <alignment horizontal="center" vertical="center" wrapText="1"/>
    </xf>
    <xf numFmtId="0" fontId="0" fillId="0" borderId="22" xfId="0" applyNumberFormat="1" applyBorder="1" applyAlignment="1">
      <alignment horizontal="center" vertical="center" wrapText="1"/>
    </xf>
    <xf numFmtId="0" fontId="0" fillId="0" borderId="10" xfId="0" applyNumberFormat="1" applyBorder="1" applyAlignment="1">
      <alignment horizontal="center" vertical="center" wrapText="1"/>
    </xf>
    <xf numFmtId="0" fontId="0" fillId="0" borderId="16" xfId="0" applyNumberFormat="1" applyBorder="1" applyAlignment="1">
      <alignment horizontal="center" vertical="center" wrapText="1"/>
    </xf>
    <xf numFmtId="0" fontId="68" fillId="0" borderId="10" xfId="0" applyNumberFormat="1" applyFont="1" applyBorder="1" applyAlignment="1">
      <alignment horizontal="center" vertical="center" wrapText="1"/>
    </xf>
    <xf numFmtId="0" fontId="81" fillId="0" borderId="0" xfId="0" applyNumberFormat="1" applyFont="1" applyAlignment="1">
      <alignment vertical="center" wrapText="1"/>
    </xf>
    <xf numFmtId="49" fontId="82" fillId="0" borderId="0" xfId="0" applyFont="1" applyAlignment="1">
      <alignment horizontal="center" vertical="top" wrapText="1"/>
    </xf>
    <xf numFmtId="49" fontId="82" fillId="0" borderId="0" xfId="0" applyFont="1" applyAlignment="1">
      <alignment vertical="top" wrapText="1"/>
    </xf>
    <xf numFmtId="49" fontId="78" fillId="7" borderId="5" xfId="0" applyFont="1" applyFill="1" applyBorder="1" applyAlignment="1">
      <alignment horizontal="center" vertical="top" wrapText="1"/>
    </xf>
    <xf numFmtId="49" fontId="82" fillId="0" borderId="0" xfId="0" applyFont="1" applyAlignment="1">
      <alignment horizontal="left" vertical="top" wrapText="1"/>
    </xf>
    <xf numFmtId="49" fontId="82" fillId="0" borderId="5" xfId="0" applyFont="1" applyBorder="1" applyAlignment="1">
      <alignment horizontal="left" vertical="top" wrapText="1"/>
    </xf>
    <xf numFmtId="0" fontId="82" fillId="0" borderId="5" xfId="0" applyNumberFormat="1" applyFont="1" applyBorder="1" applyAlignment="1">
      <alignment horizontal="left" vertical="top" wrapText="1"/>
    </xf>
    <xf numFmtId="0" fontId="82" fillId="7" borderId="5" xfId="0" applyNumberFormat="1" applyFont="1" applyFill="1" applyBorder="1" applyAlignment="1">
      <alignment horizontal="right" vertical="center" wrapText="1"/>
    </xf>
    <xf numFmtId="49" fontId="82" fillId="0" borderId="5" xfId="0" applyFont="1" applyBorder="1" applyAlignment="1">
      <alignment vertical="top" wrapText="1"/>
    </xf>
    <xf numFmtId="0" fontId="82" fillId="0" borderId="10" xfId="0" applyNumberFormat="1" applyFont="1" applyBorder="1" applyAlignment="1">
      <alignment horizontal="left" vertical="top" wrapText="1"/>
    </xf>
    <xf numFmtId="0" fontId="82" fillId="0" borderId="6" xfId="0" applyNumberFormat="1" applyFont="1" applyBorder="1" applyAlignment="1">
      <alignment horizontal="left" vertical="top" wrapText="1"/>
    </xf>
    <xf numFmtId="0" fontId="82" fillId="0" borderId="5" xfId="0" applyNumberFormat="1" applyFont="1" applyBorder="1" applyAlignment="1">
      <alignment vertical="top" wrapText="1"/>
    </xf>
    <xf numFmtId="0" fontId="78" fillId="7" borderId="5" xfId="0" applyNumberFormat="1" applyFont="1" applyFill="1" applyBorder="1" applyAlignment="1">
      <alignment horizontal="center" vertical="top" wrapText="1"/>
    </xf>
    <xf numFmtId="0" fontId="82" fillId="0" borderId="0" xfId="0" applyNumberFormat="1" applyFont="1" applyAlignment="1">
      <alignment vertical="top" wrapText="1"/>
    </xf>
    <xf numFmtId="0" fontId="77" fillId="0" borderId="0" xfId="0" applyNumberFormat="1" applyFont="1" applyAlignment="1">
      <alignment vertical="center" wrapText="1"/>
    </xf>
    <xf numFmtId="0" fontId="5" fillId="0" borderId="0" xfId="0" applyNumberFormat="1" applyFont="1" applyAlignment="1">
      <alignment horizontal="left" vertical="center" wrapText="1" indent="3"/>
    </xf>
    <xf numFmtId="3" fontId="0" fillId="0" borderId="6" xfId="0" applyNumberFormat="1" applyBorder="1" applyAlignment="1">
      <alignment horizontal="right" vertical="center" wrapText="1"/>
    </xf>
    <xf numFmtId="0" fontId="6" fillId="16" borderId="7" xfId="0" applyNumberFormat="1" applyFont="1" applyFill="1" applyBorder="1" applyAlignment="1">
      <alignment horizontal="left" vertical="center" wrapText="1"/>
    </xf>
    <xf numFmtId="49" fontId="26" fillId="10" borderId="5" xfId="0" applyFont="1" applyFill="1" applyBorder="1" applyAlignment="1">
      <alignment horizontal="center" vertical="center" wrapText="1"/>
    </xf>
    <xf numFmtId="49" fontId="60" fillId="13" borderId="6" xfId="0" applyFont="1" applyFill="1" applyBorder="1" applyAlignment="1">
      <alignment vertical="center"/>
    </xf>
    <xf numFmtId="49" fontId="6" fillId="10" borderId="0" xfId="0" applyFont="1" applyFill="1" applyAlignment="1">
      <alignment horizontal="center" vertical="center" wrapText="1"/>
    </xf>
    <xf numFmtId="0" fontId="6" fillId="10" borderId="0" xfId="0" applyNumberFormat="1" applyFont="1" applyFill="1" applyAlignment="1">
      <alignment horizontal="center" vertical="top" wrapText="1"/>
    </xf>
    <xf numFmtId="49" fontId="0" fillId="15" borderId="5" xfId="0" applyFill="1" applyBorder="1" applyAlignment="1" applyProtection="1">
      <alignment horizontal="left" vertical="center" wrapText="1" indent="1"/>
      <protection locked="0"/>
    </xf>
    <xf numFmtId="49" fontId="6" fillId="15" borderId="5" xfId="0" quotePrefix="1" applyFont="1" applyFill="1" applyBorder="1" applyAlignment="1" applyProtection="1">
      <alignment horizontal="left" vertical="center" wrapText="1"/>
      <protection locked="0"/>
    </xf>
    <xf numFmtId="14" fontId="6" fillId="16" borderId="16" xfId="0" applyNumberFormat="1" applyFont="1" applyFill="1" applyBorder="1" applyAlignment="1">
      <alignment horizontal="left" vertical="center" wrapText="1"/>
    </xf>
    <xf numFmtId="0" fontId="37" fillId="10" borderId="16" xfId="0" applyNumberFormat="1" applyFont="1" applyFill="1" applyBorder="1" applyAlignment="1">
      <alignment horizontal="center" vertical="center" wrapText="1"/>
    </xf>
    <xf numFmtId="0" fontId="27" fillId="10" borderId="17" xfId="0" applyNumberFormat="1" applyFont="1" applyFill="1" applyBorder="1" applyAlignment="1">
      <alignment vertical="top" wrapText="1"/>
    </xf>
    <xf numFmtId="0" fontId="27" fillId="10" borderId="0" xfId="0" applyNumberFormat="1" applyFont="1" applyFill="1" applyAlignment="1">
      <alignment vertical="top" wrapText="1"/>
    </xf>
    <xf numFmtId="14" fontId="6" fillId="16" borderId="22" xfId="0" applyNumberFormat="1" applyFont="1" applyFill="1" applyBorder="1" applyAlignment="1">
      <alignment horizontal="left" vertical="center" wrapText="1"/>
    </xf>
    <xf numFmtId="0" fontId="37" fillId="10" borderId="5" xfId="0" applyNumberFormat="1" applyFont="1" applyFill="1" applyBorder="1" applyAlignment="1">
      <alignment horizontal="center" vertical="center" wrapText="1"/>
    </xf>
    <xf numFmtId="0" fontId="30" fillId="13" borderId="8" xfId="0" applyNumberFormat="1" applyFont="1" applyFill="1" applyBorder="1" applyAlignment="1">
      <alignment vertical="center"/>
    </xf>
    <xf numFmtId="49" fontId="36" fillId="0" borderId="0" xfId="0" applyFont="1" applyAlignment="1">
      <alignment vertical="center" wrapText="1"/>
    </xf>
    <xf numFmtId="0" fontId="83" fillId="0" borderId="0" xfId="0" applyNumberFormat="1" applyFont="1" applyAlignment="1">
      <alignment vertical="center" wrapText="1"/>
    </xf>
    <xf numFmtId="0" fontId="75" fillId="0" borderId="0" xfId="0" applyNumberFormat="1" applyFont="1" applyAlignment="1">
      <alignment horizontal="center" vertical="center" wrapText="1"/>
    </xf>
    <xf numFmtId="14" fontId="6" fillId="10" borderId="0" xfId="0" applyNumberFormat="1" applyFont="1" applyFill="1" applyAlignment="1">
      <alignment horizontal="left" vertical="center" wrapText="1"/>
    </xf>
    <xf numFmtId="49" fontId="0" fillId="0" borderId="5" xfId="0" applyBorder="1" applyAlignment="1">
      <alignment horizontal="left" vertical="center" wrapText="1"/>
    </xf>
    <xf numFmtId="0" fontId="0" fillId="15" borderId="7" xfId="0" applyNumberFormat="1" applyFill="1" applyBorder="1" applyAlignment="1" applyProtection="1">
      <alignment horizontal="left" vertical="center" wrapText="1" indent="2"/>
      <protection locked="0"/>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84" fillId="10" borderId="0" xfId="0" applyNumberFormat="1" applyFont="1" applyFill="1" applyAlignment="1">
      <alignment horizontal="right" vertical="center"/>
    </xf>
    <xf numFmtId="49" fontId="82" fillId="0" borderId="6" xfId="0" applyFont="1" applyBorder="1" applyAlignment="1">
      <alignment horizontal="left" vertical="top" wrapText="1"/>
    </xf>
    <xf numFmtId="49" fontId="82" fillId="0" borderId="7" xfId="0" applyFont="1" applyBorder="1" applyAlignment="1">
      <alignment horizontal="left" vertical="top" wrapText="1"/>
    </xf>
    <xf numFmtId="0" fontId="82" fillId="0" borderId="10" xfId="0" applyNumberFormat="1" applyFont="1" applyBorder="1" applyAlignment="1">
      <alignment vertical="top" wrapText="1"/>
    </xf>
    <xf numFmtId="0" fontId="82" fillId="0" borderId="29" xfId="0" applyNumberFormat="1" applyFont="1" applyBorder="1" applyAlignment="1">
      <alignment horizontal="left" vertical="top" wrapText="1"/>
    </xf>
    <xf numFmtId="49" fontId="82" fillId="0" borderId="23" xfId="0" applyFont="1" applyBorder="1" applyAlignment="1">
      <alignment horizontal="left" vertical="top" wrapText="1"/>
    </xf>
    <xf numFmtId="49" fontId="82" fillId="0" borderId="5" xfId="0" applyFont="1" applyBorder="1" applyAlignment="1">
      <alignment horizontal="center" vertical="top" wrapText="1"/>
    </xf>
    <xf numFmtId="0" fontId="82" fillId="7" borderId="5" xfId="0" applyNumberFormat="1" applyFont="1" applyFill="1" applyBorder="1" applyAlignment="1">
      <alignment horizontal="center" vertical="center" wrapText="1"/>
    </xf>
    <xf numFmtId="49" fontId="82" fillId="0" borderId="30" xfId="0" applyFont="1" applyBorder="1" applyAlignment="1">
      <alignment horizontal="center" vertical="top" wrapText="1"/>
    </xf>
    <xf numFmtId="49" fontId="82" fillId="0" borderId="10" xfId="0" applyFont="1" applyBorder="1" applyAlignment="1">
      <alignment horizontal="center" vertical="top" wrapText="1"/>
    </xf>
    <xf numFmtId="0" fontId="0" fillId="10" borderId="10" xfId="0" applyNumberFormat="1" applyFill="1" applyBorder="1" applyAlignment="1">
      <alignment horizontal="center" vertical="center" wrapText="1"/>
    </xf>
    <xf numFmtId="0" fontId="6" fillId="10" borderId="10" xfId="0" applyNumberFormat="1" applyFont="1" applyFill="1" applyBorder="1" applyAlignment="1">
      <alignment horizontal="center" vertical="center" wrapText="1"/>
    </xf>
    <xf numFmtId="49" fontId="85" fillId="0" borderId="0" xfId="0" applyFont="1" applyAlignment="1">
      <alignment horizontal="center" vertical="center" wrapText="1"/>
    </xf>
    <xf numFmtId="0" fontId="6" fillId="0" borderId="31" xfId="0" applyNumberFormat="1" applyFont="1" applyBorder="1" applyAlignment="1">
      <alignment vertical="center" wrapText="1"/>
    </xf>
    <xf numFmtId="0" fontId="0" fillId="10" borderId="30" xfId="0" applyNumberFormat="1" applyFill="1" applyBorder="1" applyAlignment="1">
      <alignment horizontal="center" vertical="center" wrapText="1"/>
    </xf>
    <xf numFmtId="0" fontId="6" fillId="13" borderId="22" xfId="0" applyNumberFormat="1" applyFont="1" applyFill="1" applyBorder="1" applyAlignment="1">
      <alignment vertical="center" wrapText="1"/>
    </xf>
    <xf numFmtId="0" fontId="6" fillId="10" borderId="32" xfId="0" applyNumberFormat="1" applyFont="1" applyFill="1" applyBorder="1" applyAlignment="1">
      <alignment vertical="center" wrapText="1"/>
    </xf>
    <xf numFmtId="0" fontId="18" fillId="10" borderId="32" xfId="0" applyNumberFormat="1" applyFont="1" applyFill="1" applyBorder="1" applyAlignment="1">
      <alignment horizontal="center" wrapText="1"/>
    </xf>
    <xf numFmtId="49" fontId="60" fillId="0" borderId="32" xfId="0" applyFont="1" applyBorder="1">
      <alignment vertical="top"/>
    </xf>
    <xf numFmtId="49" fontId="35" fillId="0" borderId="0" xfId="0" applyFont="1" applyAlignment="1">
      <alignment vertical="center"/>
    </xf>
    <xf numFmtId="49" fontId="86" fillId="0" borderId="0" xfId="0" applyFont="1" applyAlignment="1">
      <alignment vertical="center"/>
    </xf>
    <xf numFmtId="49" fontId="35" fillId="0" borderId="0" xfId="0" applyFont="1" applyAlignment="1">
      <alignment vertical="center" wrapText="1"/>
    </xf>
    <xf numFmtId="49" fontId="86" fillId="0" borderId="0" xfId="0" applyFont="1" applyAlignment="1">
      <alignment vertical="center" wrapText="1"/>
    </xf>
    <xf numFmtId="49" fontId="35" fillId="0" borderId="0" xfId="0" applyFont="1" applyAlignment="1">
      <alignment horizontal="center" vertical="center" wrapText="1"/>
    </xf>
    <xf numFmtId="49" fontId="86" fillId="0" borderId="0" xfId="0" applyFont="1" applyAlignment="1">
      <alignment horizontal="center" vertical="center" wrapText="1"/>
    </xf>
    <xf numFmtId="0" fontId="35" fillId="0" borderId="0" xfId="0" applyNumberFormat="1" applyFont="1" applyAlignment="1">
      <alignment horizontal="center" vertical="center" wrapText="1"/>
    </xf>
    <xf numFmtId="49" fontId="35" fillId="10" borderId="0" xfId="0" applyFont="1" applyFill="1" applyAlignment="1">
      <alignment vertical="center" wrapText="1"/>
    </xf>
    <xf numFmtId="49" fontId="35" fillId="10" borderId="0" xfId="0" applyFont="1" applyFill="1" applyAlignment="1">
      <alignment vertical="center"/>
    </xf>
    <xf numFmtId="4" fontId="35" fillId="10" borderId="0" xfId="0" applyNumberFormat="1" applyFont="1" applyFill="1" applyAlignment="1">
      <alignment vertical="center"/>
    </xf>
    <xf numFmtId="3" fontId="35" fillId="12" borderId="5" xfId="0" applyNumberFormat="1" applyFont="1" applyFill="1" applyBorder="1" applyAlignment="1" applyProtection="1">
      <alignment horizontal="right" vertical="center"/>
      <protection locked="0"/>
    </xf>
    <xf numFmtId="49" fontId="37" fillId="0" borderId="6" xfId="0" applyFont="1" applyBorder="1" applyAlignment="1">
      <alignment horizontal="left" vertical="center" indent="1"/>
    </xf>
    <xf numFmtId="0" fontId="6" fillId="0" borderId="17" xfId="0" applyNumberFormat="1" applyFont="1" applyBorder="1" applyAlignment="1">
      <alignment vertical="top" wrapText="1"/>
    </xf>
    <xf numFmtId="49" fontId="78" fillId="0" borderId="5" xfId="0" applyFont="1" applyBorder="1" applyAlignment="1">
      <alignment horizontal="center" vertical="center" wrapText="1"/>
    </xf>
    <xf numFmtId="0" fontId="78" fillId="0" borderId="5" xfId="0" applyNumberFormat="1" applyFont="1" applyBorder="1" applyAlignment="1">
      <alignment horizontal="center" vertical="center" wrapText="1"/>
    </xf>
    <xf numFmtId="49" fontId="78" fillId="0" borderId="10" xfId="0" applyFont="1" applyBorder="1" applyAlignment="1">
      <alignment horizontal="center" vertical="center" wrapText="1"/>
    </xf>
    <xf numFmtId="49" fontId="78" fillId="0" borderId="16" xfId="0" applyFont="1" applyBorder="1" applyAlignment="1">
      <alignment horizontal="center" vertical="center" wrapText="1"/>
    </xf>
    <xf numFmtId="0" fontId="78" fillId="0" borderId="10" xfId="0" applyNumberFormat="1" applyFont="1" applyBorder="1" applyAlignment="1">
      <alignment horizontal="center" vertical="center" wrapText="1"/>
    </xf>
    <xf numFmtId="49" fontId="82" fillId="0" borderId="15" xfId="0" applyFont="1" applyBorder="1" applyAlignment="1">
      <alignment horizontal="center" vertical="top" wrapText="1"/>
    </xf>
    <xf numFmtId="49" fontId="82" fillId="0" borderId="29" xfId="0" applyFont="1" applyBorder="1" applyAlignment="1">
      <alignment horizontal="left" vertical="top" wrapText="1"/>
    </xf>
    <xf numFmtId="0" fontId="78" fillId="0" borderId="5" xfId="0" applyNumberFormat="1" applyFont="1" applyBorder="1" applyAlignment="1">
      <alignment vertical="center" wrapText="1"/>
    </xf>
    <xf numFmtId="0" fontId="78" fillId="0" borderId="10" xfId="0" applyNumberFormat="1" applyFont="1" applyBorder="1" applyAlignment="1">
      <alignment vertical="center" wrapText="1"/>
    </xf>
    <xf numFmtId="0" fontId="78" fillId="0" borderId="16" xfId="0" applyNumberFormat="1" applyFont="1" applyBorder="1" applyAlignment="1">
      <alignment vertical="center" wrapText="1"/>
    </xf>
    <xf numFmtId="49" fontId="78" fillId="0" borderId="5" xfId="0" applyFont="1" applyBorder="1" applyAlignment="1">
      <alignment horizontal="left" vertical="top" wrapText="1"/>
    </xf>
    <xf numFmtId="169" fontId="6" fillId="15" borderId="10" xfId="0" applyNumberFormat="1" applyFont="1" applyFill="1" applyBorder="1" applyAlignment="1" applyProtection="1">
      <alignment horizontal="right" vertical="center" wrapText="1"/>
      <protection locked="0"/>
    </xf>
    <xf numFmtId="0" fontId="6" fillId="0" borderId="13" xfId="0" applyNumberFormat="1" applyFont="1" applyBorder="1" applyAlignment="1">
      <alignment horizontal="center" vertical="center" wrapText="1"/>
    </xf>
    <xf numFmtId="49" fontId="30" fillId="13" borderId="12" xfId="0" applyFont="1" applyFill="1" applyBorder="1" applyAlignment="1">
      <alignment horizontal="left" vertical="center" indent="1"/>
    </xf>
    <xf numFmtId="49" fontId="6" fillId="13" borderId="30" xfId="0" applyFont="1" applyFill="1" applyBorder="1" applyAlignment="1">
      <alignment vertical="center" wrapText="1"/>
    </xf>
    <xf numFmtId="0" fontId="59" fillId="0" borderId="0" xfId="0" applyNumberFormat="1" applyFont="1" applyAlignment="1">
      <alignment horizontal="center" vertical="center" wrapText="1"/>
    </xf>
    <xf numFmtId="4" fontId="6" fillId="15" borderId="6" xfId="0" applyNumberFormat="1" applyFont="1" applyFill="1" applyBorder="1" applyAlignment="1" applyProtection="1">
      <alignment horizontal="right" vertical="center" wrapText="1"/>
      <protection locked="0"/>
    </xf>
    <xf numFmtId="169" fontId="6" fillId="15" borderId="6" xfId="0" applyNumberFormat="1" applyFont="1" applyFill="1" applyBorder="1" applyAlignment="1" applyProtection="1">
      <alignment horizontal="right" vertical="center" wrapText="1"/>
      <protection locked="0"/>
    </xf>
    <xf numFmtId="169" fontId="6" fillId="11" borderId="6" xfId="0" applyNumberFormat="1" applyFont="1" applyFill="1" applyBorder="1" applyAlignment="1">
      <alignment horizontal="right" vertical="center" wrapText="1"/>
    </xf>
    <xf numFmtId="4" fontId="6" fillId="15" borderId="22" xfId="0" applyNumberFormat="1" applyFont="1" applyFill="1" applyBorder="1" applyAlignment="1" applyProtection="1">
      <alignment horizontal="right" vertical="center" wrapText="1"/>
      <protection locked="0"/>
    </xf>
    <xf numFmtId="49" fontId="78" fillId="7" borderId="5" xfId="0" applyFont="1" applyFill="1" applyBorder="1" applyAlignment="1">
      <alignment horizontal="center" vertical="top"/>
    </xf>
    <xf numFmtId="49" fontId="82" fillId="0" borderId="0" xfId="0" applyFont="1">
      <alignment vertical="top"/>
    </xf>
    <xf numFmtId="49" fontId="78" fillId="0" borderId="5" xfId="0" applyFont="1" applyBorder="1" applyAlignment="1">
      <alignment horizontal="center" vertical="top" wrapText="1"/>
    </xf>
    <xf numFmtId="49" fontId="78" fillId="0" borderId="5" xfId="0" applyFont="1" applyBorder="1" applyAlignment="1">
      <alignment vertical="top" wrapText="1"/>
    </xf>
    <xf numFmtId="0" fontId="78" fillId="0" borderId="5" xfId="0" applyNumberFormat="1" applyFont="1" applyBorder="1" applyAlignment="1">
      <alignment vertical="top" wrapText="1"/>
    </xf>
    <xf numFmtId="49" fontId="78" fillId="0" borderId="5" xfId="0" applyFont="1" applyBorder="1">
      <alignment vertical="top"/>
    </xf>
    <xf numFmtId="49" fontId="82" fillId="0" borderId="5" xfId="0" applyFont="1" applyBorder="1">
      <alignment vertical="top"/>
    </xf>
    <xf numFmtId="49" fontId="78" fillId="0" borderId="0" xfId="0" applyFont="1" applyAlignment="1">
      <alignment horizontal="center" vertical="center" wrapText="1"/>
    </xf>
    <xf numFmtId="49" fontId="78" fillId="0" borderId="0" xfId="0" applyFont="1" applyAlignment="1">
      <alignment horizontal="left" vertical="center" wrapText="1"/>
    </xf>
    <xf numFmtId="49" fontId="78" fillId="21" borderId="0" xfId="0" applyFont="1" applyFill="1" applyAlignment="1">
      <alignment horizontal="center" vertical="center" wrapText="1"/>
    </xf>
    <xf numFmtId="0" fontId="78" fillId="0" borderId="0" xfId="0" applyNumberFormat="1" applyFont="1" applyAlignment="1">
      <alignment vertical="center" wrapText="1"/>
    </xf>
    <xf numFmtId="0" fontId="37" fillId="0" borderId="5" xfId="0" applyNumberFormat="1" applyFont="1" applyBorder="1" applyAlignment="1">
      <alignment horizontal="left" vertical="center" wrapText="1" indent="3"/>
    </xf>
    <xf numFmtId="49" fontId="37" fillId="0" borderId="5" xfId="0" applyFont="1" applyBorder="1" applyAlignment="1">
      <alignment vertical="center" wrapText="1"/>
    </xf>
    <xf numFmtId="0" fontId="37" fillId="0" borderId="10" xfId="0" applyNumberFormat="1" applyFont="1" applyBorder="1" applyAlignment="1">
      <alignment vertical="top" wrapText="1"/>
    </xf>
    <xf numFmtId="0" fontId="37" fillId="0" borderId="29" xfId="0" applyNumberFormat="1" applyFont="1" applyBorder="1" applyAlignment="1">
      <alignment horizontal="left" vertical="center" wrapText="1" indent="1"/>
    </xf>
    <xf numFmtId="49" fontId="82" fillId="7" borderId="5" xfId="0" applyFont="1" applyFill="1" applyBorder="1" applyAlignment="1">
      <alignment horizontal="center" vertical="top" wrapText="1"/>
    </xf>
    <xf numFmtId="49" fontId="82" fillId="7" borderId="5" xfId="0" applyFont="1" applyFill="1" applyBorder="1" applyAlignment="1">
      <alignment horizontal="left" vertical="top" wrapText="1"/>
    </xf>
    <xf numFmtId="49" fontId="82" fillId="7" borderId="0" xfId="0" applyFont="1" applyFill="1" applyAlignment="1">
      <alignment horizontal="left" vertical="top" wrapText="1"/>
    </xf>
    <xf numFmtId="0" fontId="78" fillId="0" borderId="7" xfId="0" applyNumberFormat="1" applyFont="1" applyBorder="1" applyAlignment="1">
      <alignment horizontal="center" vertical="center" wrapText="1"/>
    </xf>
    <xf numFmtId="0" fontId="78" fillId="0" borderId="7" xfId="0" applyNumberFormat="1" applyFont="1" applyBorder="1" applyAlignment="1">
      <alignment horizontal="center" vertical="center"/>
    </xf>
    <xf numFmtId="49" fontId="37" fillId="10" borderId="5" xfId="0" applyFont="1" applyFill="1" applyBorder="1" applyAlignment="1">
      <alignment horizontal="center" vertical="center"/>
    </xf>
    <xf numFmtId="0" fontId="37" fillId="10" borderId="5" xfId="0" applyNumberFormat="1" applyFont="1" applyFill="1" applyBorder="1" applyAlignment="1">
      <alignment horizontal="left" vertical="center" wrapText="1" indent="1"/>
    </xf>
    <xf numFmtId="0" fontId="37" fillId="10" borderId="5" xfId="0" applyNumberFormat="1" applyFont="1" applyFill="1" applyBorder="1" applyAlignment="1">
      <alignment vertical="center" wrapText="1"/>
    </xf>
    <xf numFmtId="49" fontId="37" fillId="0" borderId="5" xfId="0" applyFont="1" applyBorder="1" applyAlignment="1">
      <alignment horizontal="center" vertical="center"/>
    </xf>
    <xf numFmtId="0" fontId="37" fillId="0" borderId="5" xfId="0" applyNumberFormat="1" applyFont="1" applyBorder="1" applyAlignment="1">
      <alignment horizontal="left" vertical="center" wrapText="1" indent="1"/>
    </xf>
    <xf numFmtId="0" fontId="37" fillId="10" borderId="5" xfId="0" applyNumberFormat="1" applyFont="1" applyFill="1" applyBorder="1" applyAlignment="1">
      <alignment horizontal="left" vertical="center" wrapText="1" indent="2"/>
    </xf>
    <xf numFmtId="49" fontId="37" fillId="0" borderId="5" xfId="0" applyFont="1" applyBorder="1" applyAlignment="1">
      <alignment horizontal="left" vertical="center" wrapText="1"/>
    </xf>
    <xf numFmtId="2" fontId="6" fillId="0" borderId="16" xfId="0" applyNumberFormat="1" applyFont="1" applyBorder="1" applyAlignment="1">
      <alignment horizontal="center" vertical="center" wrapText="1"/>
    </xf>
    <xf numFmtId="0" fontId="87" fillId="0" borderId="0" xfId="0" applyNumberFormat="1" applyFont="1" applyAlignment="1">
      <alignment horizontal="center" vertical="center" wrapText="1"/>
    </xf>
    <xf numFmtId="0" fontId="88" fillId="10" borderId="0" xfId="0" applyNumberFormat="1" applyFont="1" applyFill="1" applyAlignment="1">
      <alignment horizontal="right" vertical="center"/>
    </xf>
    <xf numFmtId="0" fontId="6" fillId="0" borderId="16" xfId="0" applyNumberFormat="1" applyFont="1" applyBorder="1" applyAlignment="1">
      <alignment horizontal="left" vertical="center" wrapText="1"/>
    </xf>
    <xf numFmtId="0" fontId="37" fillId="0" borderId="20" xfId="0" applyNumberFormat="1" applyFont="1" applyBorder="1" applyAlignment="1">
      <alignment vertical="center" wrapText="1"/>
    </xf>
    <xf numFmtId="49" fontId="16" fillId="0" borderId="7" xfId="0" applyFont="1" applyBorder="1" applyAlignment="1">
      <alignment horizontal="left" vertical="center" wrapText="1"/>
    </xf>
    <xf numFmtId="49" fontId="16" fillId="0" borderId="8" xfId="0" applyFont="1" applyBorder="1" applyAlignment="1">
      <alignment horizontal="left" vertical="center" wrapText="1"/>
    </xf>
    <xf numFmtId="4" fontId="6" fillId="0" borderId="10" xfId="0" applyNumberFormat="1" applyFont="1" applyBorder="1" applyAlignment="1">
      <alignment horizontal="center" vertical="center" wrapText="1"/>
    </xf>
    <xf numFmtId="4" fontId="6" fillId="0" borderId="25" xfId="0" applyNumberFormat="1" applyFont="1" applyBorder="1" applyAlignment="1">
      <alignment horizontal="center" vertical="center" wrapText="1"/>
    </xf>
    <xf numFmtId="49" fontId="16" fillId="0" borderId="30" xfId="0" applyFont="1" applyBorder="1" applyAlignment="1">
      <alignment horizontal="left" vertical="center" wrapText="1"/>
    </xf>
    <xf numFmtId="49" fontId="16" fillId="0" borderId="23" xfId="0" applyFont="1" applyBorder="1" applyAlignment="1">
      <alignment horizontal="left" vertical="center" wrapText="1"/>
    </xf>
    <xf numFmtId="0" fontId="6" fillId="0" borderId="29" xfId="0" applyNumberFormat="1" applyFont="1" applyBorder="1" applyAlignment="1">
      <alignment vertical="center" wrapText="1"/>
    </xf>
    <xf numFmtId="0" fontId="6" fillId="0" borderId="25" xfId="0" applyNumberFormat="1" applyFont="1" applyBorder="1" applyAlignment="1">
      <alignment horizontal="left" vertical="center" wrapText="1"/>
    </xf>
    <xf numFmtId="4" fontId="6" fillId="0" borderId="33" xfId="0" applyNumberFormat="1" applyFont="1" applyBorder="1" applyAlignment="1">
      <alignment horizontal="center" vertical="center" wrapText="1"/>
    </xf>
    <xf numFmtId="0" fontId="37" fillId="0" borderId="0" xfId="0" applyNumberFormat="1" applyFont="1" applyAlignment="1">
      <alignment horizontal="center" vertical="top"/>
    </xf>
    <xf numFmtId="0" fontId="37" fillId="0" borderId="16" xfId="0" applyNumberFormat="1" applyFont="1" applyBorder="1" applyAlignment="1">
      <alignment vertical="center" wrapText="1"/>
    </xf>
    <xf numFmtId="4" fontId="37" fillId="0" borderId="5" xfId="0" applyNumberFormat="1" applyFont="1" applyBorder="1" applyAlignment="1">
      <alignment horizontal="right" vertical="center" wrapText="1"/>
    </xf>
    <xf numFmtId="2" fontId="37" fillId="0" borderId="16" xfId="0" applyNumberFormat="1" applyFont="1" applyBorder="1" applyAlignment="1">
      <alignment horizontal="center" vertical="center" wrapText="1"/>
    </xf>
    <xf numFmtId="49" fontId="37" fillId="0" borderId="7" xfId="0" applyFont="1" applyBorder="1" applyAlignment="1">
      <alignment horizontal="left" vertical="center"/>
    </xf>
    <xf numFmtId="49" fontId="37" fillId="0" borderId="8" xfId="0" applyFont="1" applyBorder="1" applyAlignment="1">
      <alignment horizontal="left" vertical="center" indent="1"/>
    </xf>
    <xf numFmtId="49" fontId="37" fillId="0" borderId="8" xfId="0" applyFont="1" applyBorder="1" applyAlignment="1">
      <alignment horizontal="left" vertical="center"/>
    </xf>
    <xf numFmtId="0" fontId="37" fillId="0" borderId="5" xfId="0" applyNumberFormat="1" applyFont="1" applyBorder="1" applyAlignment="1">
      <alignment horizontal="left" vertical="center" indent="1"/>
    </xf>
    <xf numFmtId="49" fontId="30" fillId="0" borderId="12" xfId="0" applyFont="1" applyBorder="1" applyAlignment="1">
      <alignment horizontal="right" vertical="center"/>
    </xf>
    <xf numFmtId="0" fontId="6" fillId="16" borderId="5" xfId="0" applyNumberFormat="1" applyFont="1" applyFill="1" applyBorder="1" applyAlignment="1">
      <alignment horizontal="left" vertical="center" wrapText="1" indent="1"/>
    </xf>
    <xf numFmtId="0" fontId="48" fillId="10" borderId="0" xfId="0" applyNumberFormat="1" applyFont="1" applyFill="1" applyAlignment="1">
      <alignment horizontal="left" vertical="center" wrapText="1" indent="1"/>
    </xf>
    <xf numFmtId="49" fontId="16" fillId="12" borderId="6" xfId="0" applyFont="1" applyFill="1" applyBorder="1" applyAlignment="1" applyProtection="1">
      <alignment horizontal="left" vertical="center" wrapText="1"/>
      <protection locked="0"/>
    </xf>
    <xf numFmtId="0" fontId="6" fillId="0" borderId="20" xfId="0" applyNumberFormat="1" applyFont="1" applyBorder="1" applyAlignment="1">
      <alignment vertical="center" wrapText="1"/>
    </xf>
    <xf numFmtId="49" fontId="6" fillId="13" borderId="34" xfId="0" applyFont="1" applyFill="1" applyBorder="1" applyAlignment="1">
      <alignment horizontal="center" vertical="center" wrapText="1"/>
    </xf>
    <xf numFmtId="49" fontId="18" fillId="13" borderId="35" xfId="0" applyFont="1" applyFill="1" applyBorder="1" applyAlignment="1">
      <alignment horizontal="right" vertical="center" wrapText="1"/>
    </xf>
    <xf numFmtId="49" fontId="18" fillId="13" borderId="36" xfId="0" applyFont="1" applyFill="1" applyBorder="1" applyAlignment="1">
      <alignment horizontal="right" vertical="center" wrapText="1"/>
    </xf>
    <xf numFmtId="49" fontId="81" fillId="0" borderId="0" xfId="0" applyFont="1" applyAlignment="1">
      <alignment vertical="center" wrapText="1"/>
    </xf>
    <xf numFmtId="49" fontId="0" fillId="0" borderId="0" xfId="0" applyAlignment="1">
      <alignment vertical="center" wrapText="1"/>
    </xf>
    <xf numFmtId="49" fontId="22" fillId="22" borderId="0" xfId="0" applyFont="1" applyFill="1" applyAlignment="1">
      <alignment horizontal="center" vertical="center"/>
    </xf>
    <xf numFmtId="0" fontId="0" fillId="23" borderId="0" xfId="0" applyNumberFormat="1" applyFill="1" applyAlignment="1">
      <alignment horizontal="left" vertical="center"/>
    </xf>
    <xf numFmtId="0" fontId="0" fillId="24" borderId="5" xfId="0" applyNumberFormat="1" applyFill="1" applyBorder="1" applyAlignment="1">
      <alignment horizontal="center" vertical="center"/>
    </xf>
    <xf numFmtId="49" fontId="36" fillId="22" borderId="5" xfId="0" applyFont="1" applyFill="1" applyBorder="1" applyAlignment="1">
      <alignment horizontal="center" vertical="center"/>
    </xf>
    <xf numFmtId="49" fontId="36" fillId="25" borderId="5" xfId="0" applyFont="1" applyFill="1" applyBorder="1" applyAlignment="1">
      <alignment horizontal="center" vertical="center"/>
    </xf>
    <xf numFmtId="49" fontId="0" fillId="26" borderId="5" xfId="0" applyFill="1" applyBorder="1" applyAlignment="1">
      <alignment horizontal="center" vertical="center"/>
    </xf>
    <xf numFmtId="0" fontId="6" fillId="0" borderId="5" xfId="0" applyNumberFormat="1" applyFont="1" applyBorder="1" applyAlignment="1">
      <alignment vertical="center"/>
    </xf>
    <xf numFmtId="0" fontId="0" fillId="0" borderId="5" xfId="0" applyNumberFormat="1" applyBorder="1" applyAlignment="1">
      <alignment vertical="center"/>
    </xf>
    <xf numFmtId="49" fontId="6" fillId="0" borderId="37" xfId="0" applyFont="1" applyBorder="1" applyAlignment="1">
      <alignment vertical="center"/>
    </xf>
    <xf numFmtId="49" fontId="6" fillId="0" borderId="38" xfId="0" applyFont="1" applyBorder="1">
      <alignment vertical="top"/>
    </xf>
    <xf numFmtId="0" fontId="0" fillId="0" borderId="6" xfId="0" applyNumberFormat="1" applyBorder="1" applyAlignment="1">
      <alignment vertical="center"/>
    </xf>
    <xf numFmtId="0" fontId="0" fillId="0" borderId="5" xfId="0" applyNumberFormat="1" applyBorder="1" applyAlignment="1">
      <alignment horizontal="right" vertical="top"/>
    </xf>
    <xf numFmtId="0" fontId="0" fillId="0" borderId="5" xfId="0" applyNumberFormat="1" applyBorder="1">
      <alignment vertical="top"/>
    </xf>
    <xf numFmtId="0" fontId="6" fillId="0" borderId="6" xfId="0" applyNumberFormat="1" applyFont="1" applyBorder="1" applyAlignment="1">
      <alignment vertical="center"/>
    </xf>
    <xf numFmtId="49" fontId="6" fillId="0" borderId="5" xfId="0" applyFont="1" applyBorder="1" applyAlignment="1">
      <alignment vertical="center"/>
    </xf>
    <xf numFmtId="0" fontId="6" fillId="0" borderId="5" xfId="0" applyNumberFormat="1" applyFont="1" applyBorder="1">
      <alignment vertical="top"/>
    </xf>
    <xf numFmtId="49" fontId="6" fillId="0" borderId="5" xfId="0" applyFont="1" applyBorder="1">
      <alignment vertical="top"/>
    </xf>
    <xf numFmtId="49" fontId="6" fillId="0" borderId="7" xfId="0" applyFont="1" applyBorder="1">
      <alignment vertical="top"/>
    </xf>
    <xf numFmtId="0" fontId="0" fillId="0" borderId="10" xfId="0" applyNumberFormat="1" applyBorder="1">
      <alignment vertical="top"/>
    </xf>
    <xf numFmtId="0" fontId="6" fillId="0" borderId="10" xfId="0" applyNumberFormat="1" applyFont="1" applyBorder="1" applyAlignment="1">
      <alignment vertical="center"/>
    </xf>
    <xf numFmtId="49" fontId="6" fillId="0" borderId="24" xfId="0" applyFont="1" applyBorder="1" applyAlignment="1">
      <alignment horizontal="center" vertical="center"/>
    </xf>
    <xf numFmtId="49" fontId="0" fillId="12" borderId="24" xfId="0" applyFill="1" applyBorder="1" applyAlignment="1" applyProtection="1">
      <alignment horizontal="left" vertical="center"/>
      <protection locked="0"/>
    </xf>
    <xf numFmtId="49" fontId="0" fillId="0" borderId="24" xfId="0" applyBorder="1" applyAlignment="1">
      <alignment horizontal="right" vertical="center"/>
    </xf>
    <xf numFmtId="0" fontId="0" fillId="11" borderId="24" xfId="0" applyNumberFormat="1" applyFill="1" applyBorder="1" applyAlignment="1">
      <alignment horizontal="center" vertical="center"/>
    </xf>
    <xf numFmtId="49" fontId="0" fillId="0" borderId="24"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9" fillId="0" borderId="39" xfId="0" applyNumberFormat="1" applyFont="1" applyBorder="1" applyAlignment="1">
      <alignment horizontal="center" vertical="center"/>
    </xf>
    <xf numFmtId="0" fontId="0" fillId="0" borderId="39" xfId="0" applyNumberFormat="1" applyBorder="1" applyAlignment="1">
      <alignment horizontal="center" vertical="center"/>
    </xf>
    <xf numFmtId="49" fontId="22" fillId="22" borderId="5" xfId="0" applyFont="1" applyFill="1" applyBorder="1" applyAlignment="1">
      <alignment horizontal="right" vertical="center"/>
    </xf>
    <xf numFmtId="49" fontId="6" fillId="12" borderId="30" xfId="0" applyFont="1" applyFill="1" applyBorder="1" applyProtection="1">
      <alignment vertical="top"/>
      <protection locked="0"/>
    </xf>
    <xf numFmtId="49" fontId="6" fillId="7" borderId="16" xfId="0" applyFont="1" applyFill="1" applyBorder="1">
      <alignment vertical="top"/>
    </xf>
    <xf numFmtId="49" fontId="6" fillId="7" borderId="5" xfId="0" applyFont="1" applyFill="1" applyBorder="1">
      <alignment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49" fontId="22" fillId="22" borderId="7" xfId="0" applyFont="1" applyFill="1" applyBorder="1" applyAlignment="1">
      <alignment horizontal="right" vertical="center"/>
    </xf>
    <xf numFmtId="49" fontId="6" fillId="0" borderId="0" xfId="0" applyFont="1" applyAlignment="1">
      <alignment vertical="center"/>
    </xf>
    <xf numFmtId="0" fontId="0" fillId="23" borderId="0" xfId="0" applyNumberFormat="1" applyFill="1" applyAlignment="1">
      <alignment horizontal="right" vertical="center"/>
    </xf>
    <xf numFmtId="0" fontId="90" fillId="0" borderId="40" xfId="0" applyNumberFormat="1" applyFont="1" applyBorder="1" applyAlignment="1">
      <alignment horizontal="left" vertical="center" indent="1"/>
    </xf>
    <xf numFmtId="0" fontId="90" fillId="0" borderId="41" xfId="0" applyNumberFormat="1" applyFont="1" applyBorder="1" applyAlignment="1">
      <alignment horizontal="left" vertical="center" indent="1"/>
    </xf>
    <xf numFmtId="0" fontId="90" fillId="0" borderId="42" xfId="0" applyNumberFormat="1" applyFont="1" applyBorder="1" applyAlignment="1">
      <alignment horizontal="left" vertical="center" indent="1"/>
    </xf>
    <xf numFmtId="0" fontId="6" fillId="0" borderId="0" xfId="0" applyNumberFormat="1" applyFont="1" applyAlignment="1">
      <alignment horizontal="left" vertical="center" wrapText="1" indent="3"/>
    </xf>
    <xf numFmtId="49" fontId="36" fillId="22" borderId="0" xfId="0" applyFont="1" applyFill="1" applyAlignment="1">
      <alignment horizontal="center" vertical="center" wrapText="1"/>
    </xf>
    <xf numFmtId="49" fontId="91" fillId="0" borderId="9" xfId="0" applyFont="1" applyBorder="1">
      <alignment vertical="top"/>
    </xf>
    <xf numFmtId="0" fontId="6" fillId="0" borderId="7" xfId="0" applyNumberFormat="1" applyFont="1" applyBorder="1" applyAlignment="1">
      <alignment horizontal="left" vertical="center"/>
    </xf>
    <xf numFmtId="0" fontId="0" fillId="0" borderId="7" xfId="0" applyNumberFormat="1" applyBorder="1" applyAlignment="1">
      <alignment horizontal="left" vertical="center"/>
    </xf>
    <xf numFmtId="0" fontId="6" fillId="13" borderId="43" xfId="0" applyNumberFormat="1" applyFont="1" applyFill="1" applyBorder="1" applyAlignment="1">
      <alignment vertical="center" wrapText="1"/>
    </xf>
    <xf numFmtId="0" fontId="6" fillId="13" borderId="44" xfId="0" applyNumberFormat="1" applyFont="1" applyFill="1" applyBorder="1" applyAlignment="1">
      <alignment vertical="center" wrapText="1"/>
    </xf>
    <xf numFmtId="49" fontId="92" fillId="13" borderId="7" xfId="0" applyFont="1" applyFill="1" applyBorder="1" applyAlignment="1">
      <alignment horizontal="left" vertical="center" indent="1"/>
    </xf>
    <xf numFmtId="49" fontId="92" fillId="13" borderId="8" xfId="0" applyFont="1" applyFill="1" applyBorder="1" applyAlignment="1">
      <alignment horizontal="left" vertical="center" indent="1"/>
    </xf>
    <xf numFmtId="49" fontId="81" fillId="13" borderId="36" xfId="0" applyFont="1" applyFill="1" applyBorder="1" applyAlignment="1">
      <alignment horizontal="center" vertical="center"/>
    </xf>
    <xf numFmtId="49" fontId="92" fillId="13" borderId="36" xfId="0" applyFont="1" applyFill="1" applyBorder="1" applyAlignment="1">
      <alignment horizontal="left" vertical="center" indent="1"/>
    </xf>
    <xf numFmtId="0" fontId="35" fillId="16" borderId="5" xfId="0" applyNumberFormat="1" applyFont="1" applyFill="1" applyBorder="1" applyAlignment="1">
      <alignment horizontal="left" vertical="center" wrapText="1" indent="1"/>
    </xf>
    <xf numFmtId="49" fontId="35" fillId="13" borderId="8" xfId="0" applyFont="1" applyFill="1" applyBorder="1" applyAlignment="1">
      <alignment vertical="top" wrapText="1"/>
    </xf>
    <xf numFmtId="49" fontId="35" fillId="13" borderId="6" xfId="0" applyFont="1" applyFill="1" applyBorder="1" applyAlignment="1">
      <alignment vertical="top" wrapText="1"/>
    </xf>
    <xf numFmtId="49" fontId="35" fillId="13" borderId="45" xfId="0" applyFont="1" applyFill="1" applyBorder="1" applyAlignment="1">
      <alignment vertical="top" wrapText="1"/>
    </xf>
    <xf numFmtId="49" fontId="92" fillId="13" borderId="45" xfId="0" applyFont="1" applyFill="1" applyBorder="1" applyAlignment="1">
      <alignment horizontal="left" vertical="center" indent="1"/>
    </xf>
    <xf numFmtId="0" fontId="0" fillId="0" borderId="42" xfId="0" applyNumberFormat="1" applyBorder="1" applyAlignment="1">
      <alignment horizontal="left" vertical="center" wrapText="1"/>
    </xf>
    <xf numFmtId="0" fontId="6" fillId="0" borderId="42" xfId="0" applyNumberFormat="1" applyFont="1" applyBorder="1" applyAlignment="1">
      <alignment vertical="center" wrapText="1"/>
    </xf>
    <xf numFmtId="0" fontId="6" fillId="0" borderId="46" xfId="0" applyNumberFormat="1" applyFont="1" applyBorder="1" applyAlignment="1">
      <alignment vertical="center" wrapText="1"/>
    </xf>
    <xf numFmtId="0" fontId="6" fillId="0" borderId="47" xfId="0" applyNumberFormat="1" applyFont="1" applyBorder="1" applyAlignment="1">
      <alignment vertical="center" wrapText="1"/>
    </xf>
    <xf numFmtId="0" fontId="0" fillId="13" borderId="43" xfId="0" applyNumberFormat="1" applyFill="1" applyBorder="1" applyAlignment="1">
      <alignment horizontal="left" vertical="center"/>
    </xf>
    <xf numFmtId="49" fontId="26" fillId="0" borderId="5" xfId="0" applyFont="1" applyBorder="1" applyAlignment="1">
      <alignment horizontal="center" vertical="center"/>
    </xf>
    <xf numFmtId="49" fontId="26" fillId="7" borderId="5" xfId="0" applyFont="1" applyFill="1" applyBorder="1" applyAlignment="1">
      <alignment horizontal="center" vertical="center"/>
    </xf>
    <xf numFmtId="0" fontId="26" fillId="0" borderId="5" xfId="0" applyNumberFormat="1" applyFont="1" applyBorder="1" applyAlignment="1">
      <alignment horizontal="center" vertical="center"/>
    </xf>
    <xf numFmtId="49" fontId="26" fillId="0" borderId="16" xfId="0" applyFont="1" applyBorder="1" applyAlignment="1">
      <alignment horizontal="center" vertical="center"/>
    </xf>
    <xf numFmtId="49" fontId="36" fillId="0" borderId="10" xfId="0" applyFont="1" applyBorder="1" applyAlignment="1">
      <alignment horizontal="center" vertical="center"/>
    </xf>
    <xf numFmtId="49" fontId="6" fillId="0" borderId="10" xfId="0" applyFont="1" applyBorder="1" applyAlignment="1">
      <alignment horizontal="center" vertical="center"/>
    </xf>
    <xf numFmtId="0" fontId="6" fillId="0" borderId="10" xfId="0" applyNumberFormat="1" applyFont="1" applyBorder="1" applyAlignment="1">
      <alignment horizontal="right" vertical="center"/>
    </xf>
    <xf numFmtId="0" fontId="6" fillId="0" borderId="10" xfId="0" applyNumberFormat="1" applyFont="1" applyBorder="1" applyAlignment="1">
      <alignment horizontal="center" vertical="center"/>
    </xf>
    <xf numFmtId="0" fontId="6" fillId="0" borderId="5" xfId="0" applyNumberFormat="1" applyFont="1" applyBorder="1" applyAlignment="1">
      <alignment horizontal="right" vertical="center"/>
    </xf>
    <xf numFmtId="49" fontId="6" fillId="0" borderId="48" xfId="0" applyFont="1" applyBorder="1" applyAlignment="1">
      <alignment horizontal="center" vertical="center"/>
    </xf>
    <xf numFmtId="0" fontId="6" fillId="0" borderId="48" xfId="0" applyNumberFormat="1" applyFont="1" applyBorder="1" applyAlignment="1">
      <alignment horizontal="right" vertical="center"/>
    </xf>
    <xf numFmtId="0" fontId="6" fillId="0" borderId="48" xfId="0" applyNumberFormat="1" applyFont="1" applyBorder="1" applyAlignment="1">
      <alignment horizontal="center" vertical="center"/>
    </xf>
    <xf numFmtId="0" fontId="6" fillId="0" borderId="8" xfId="0" applyNumberFormat="1" applyFont="1" applyBorder="1" applyAlignment="1">
      <alignment horizontal="right" vertical="center"/>
    </xf>
    <xf numFmtId="0" fontId="6" fillId="0" borderId="6" xfId="0" applyNumberFormat="1" applyFont="1" applyBorder="1" applyAlignment="1">
      <alignment horizontal="right" vertical="center"/>
    </xf>
    <xf numFmtId="0" fontId="6" fillId="7" borderId="5" xfId="0" applyNumberFormat="1" applyFont="1" applyFill="1" applyBorder="1" applyAlignment="1">
      <alignment horizontal="right" vertical="center"/>
    </xf>
    <xf numFmtId="4" fontId="6" fillId="12" borderId="5" xfId="0" applyNumberFormat="1" applyFont="1" applyFill="1" applyBorder="1" applyAlignment="1" applyProtection="1">
      <alignment horizontal="right" vertical="center"/>
      <protection locked="0"/>
    </xf>
    <xf numFmtId="49" fontId="30" fillId="13" borderId="49" xfId="0" applyFont="1" applyFill="1" applyBorder="1" applyAlignment="1">
      <alignment horizontal="left" vertical="center" indent="1"/>
    </xf>
    <xf numFmtId="49" fontId="30" fillId="13" borderId="44" xfId="0" applyFont="1" applyFill="1" applyBorder="1" applyAlignment="1">
      <alignment horizontal="left" vertical="center" indent="1"/>
    </xf>
    <xf numFmtId="49" fontId="30" fillId="27" borderId="6" xfId="0" applyFont="1" applyFill="1" applyBorder="1" applyAlignment="1">
      <alignment horizontal="left" vertical="center" indent="1"/>
    </xf>
    <xf numFmtId="0" fontId="6" fillId="23" borderId="0" xfId="0" applyNumberFormat="1" applyFont="1" applyFill="1" applyAlignment="1">
      <alignment horizontal="left" vertical="center"/>
    </xf>
    <xf numFmtId="0" fontId="6" fillId="10" borderId="5" xfId="0" applyNumberFormat="1" applyFont="1" applyFill="1" applyBorder="1" applyAlignment="1">
      <alignment horizontal="left" vertical="center" wrapText="1"/>
    </xf>
    <xf numFmtId="0" fontId="6" fillId="10" borderId="12" xfId="0" applyNumberFormat="1" applyFont="1" applyFill="1" applyBorder="1" applyAlignment="1">
      <alignment vertical="center" wrapText="1"/>
    </xf>
    <xf numFmtId="0" fontId="37" fillId="0" borderId="32" xfId="0" applyNumberFormat="1" applyFont="1" applyBorder="1" applyAlignment="1">
      <alignment vertical="center" wrapText="1"/>
    </xf>
    <xf numFmtId="49" fontId="0" fillId="11" borderId="5" xfId="0" applyFill="1" applyBorder="1" applyAlignment="1">
      <alignment horizontal="center" vertical="center"/>
    </xf>
    <xf numFmtId="49" fontId="6" fillId="0" borderId="15" xfId="0" applyFont="1" applyBorder="1">
      <alignment vertical="top"/>
    </xf>
    <xf numFmtId="0" fontId="6" fillId="0" borderId="15" xfId="0" applyNumberFormat="1" applyFont="1" applyBorder="1" applyAlignment="1">
      <alignment vertical="center" wrapText="1"/>
    </xf>
    <xf numFmtId="4" fontId="0" fillId="12" borderId="5" xfId="0" applyNumberFormat="1" applyFill="1" applyBorder="1" applyAlignment="1" applyProtection="1">
      <alignment horizontal="right" vertical="center" wrapText="1"/>
      <protection locked="0"/>
    </xf>
    <xf numFmtId="49" fontId="0" fillId="0" borderId="5" xfId="0" applyBorder="1" applyAlignment="1">
      <alignment horizontal="left" vertical="center" wrapText="1" indent="2"/>
    </xf>
    <xf numFmtId="49" fontId="0" fillId="0" borderId="5" xfId="0" applyBorder="1" applyAlignment="1">
      <alignment horizontal="left" vertical="center" wrapText="1" indent="3"/>
    </xf>
    <xf numFmtId="0" fontId="6" fillId="0" borderId="31" xfId="0" applyNumberFormat="1" applyFont="1" applyBorder="1" applyAlignment="1">
      <alignment vertical="center"/>
    </xf>
    <xf numFmtId="49" fontId="6" fillId="15" borderId="10" xfId="0" applyFont="1" applyFill="1" applyBorder="1" applyAlignment="1" applyProtection="1">
      <alignment horizontal="left" vertical="center" wrapText="1" indent="1"/>
      <protection locked="0"/>
    </xf>
    <xf numFmtId="0" fontId="6" fillId="10" borderId="20" xfId="0" applyNumberFormat="1" applyFont="1" applyFill="1" applyBorder="1" applyAlignment="1">
      <alignment vertical="center" wrapText="1"/>
    </xf>
    <xf numFmtId="0" fontId="37" fillId="10" borderId="12" xfId="0" applyNumberFormat="1" applyFont="1" applyFill="1" applyBorder="1" applyAlignment="1">
      <alignment horizontal="center" vertical="center" wrapText="1"/>
    </xf>
    <xf numFmtId="49" fontId="59" fillId="0" borderId="0" xfId="0" applyFont="1" applyAlignment="1">
      <alignment vertical="center" wrapText="1"/>
    </xf>
    <xf numFmtId="0" fontId="93" fillId="10" borderId="0" xfId="0" applyNumberFormat="1" applyFont="1" applyFill="1" applyAlignment="1">
      <alignment vertical="center" wrapText="1"/>
    </xf>
    <xf numFmtId="49" fontId="37" fillId="10" borderId="0" xfId="0" applyFont="1" applyFill="1" applyAlignment="1">
      <alignment horizontal="center" vertical="center" wrapText="1"/>
    </xf>
    <xf numFmtId="0" fontId="94" fillId="10" borderId="0" xfId="0" applyNumberFormat="1" applyFont="1" applyFill="1" applyAlignment="1">
      <alignment vertical="center" wrapText="1"/>
    </xf>
    <xf numFmtId="49" fontId="67" fillId="10" borderId="12" xfId="0" applyFont="1" applyFill="1" applyBorder="1" applyAlignment="1">
      <alignment horizontal="center" vertical="center" wrapText="1"/>
    </xf>
    <xf numFmtId="0" fontId="67" fillId="10" borderId="12" xfId="0" applyNumberFormat="1" applyFont="1" applyFill="1" applyBorder="1" applyAlignment="1">
      <alignment horizontal="center" vertical="center" wrapText="1"/>
    </xf>
    <xf numFmtId="168" fontId="6" fillId="12" borderId="5" xfId="0" applyNumberFormat="1" applyFont="1" applyFill="1" applyBorder="1" applyAlignment="1" applyProtection="1">
      <alignment horizontal="right" vertical="center" wrapText="1"/>
      <protection locked="0"/>
    </xf>
    <xf numFmtId="0" fontId="35" fillId="0" borderId="5" xfId="0" applyNumberFormat="1" applyFont="1" applyBorder="1" applyAlignment="1">
      <alignment vertical="top" wrapText="1"/>
    </xf>
    <xf numFmtId="0" fontId="6" fillId="16" borderId="5" xfId="0" applyNumberFormat="1" applyFont="1" applyFill="1" applyBorder="1" applyAlignment="1" applyProtection="1">
      <alignment horizontal="left" vertical="center" wrapText="1" indent="6"/>
      <protection locked="0"/>
    </xf>
    <xf numFmtId="0" fontId="95" fillId="0" borderId="0" xfId="0" applyNumberFormat="1" applyFont="1" applyAlignment="1">
      <alignment vertical="center"/>
    </xf>
    <xf numFmtId="0" fontId="6" fillId="0" borderId="0" xfId="0" applyNumberFormat="1" applyFont="1" applyAlignment="1">
      <alignment horizontal="left" vertical="center" indent="1"/>
    </xf>
    <xf numFmtId="49" fontId="96" fillId="13" borderId="8" xfId="0" applyFont="1" applyFill="1" applyBorder="1" applyAlignment="1">
      <alignment horizontal="left" vertical="center" indent="3"/>
    </xf>
    <xf numFmtId="49" fontId="59" fillId="13" borderId="8" xfId="0" applyFont="1" applyFill="1" applyBorder="1" applyAlignment="1">
      <alignment horizontal="center" vertical="center" wrapText="1"/>
    </xf>
    <xf numFmtId="49" fontId="54" fillId="13" borderId="8" xfId="0" applyFont="1" applyFill="1" applyBorder="1" applyAlignment="1">
      <alignment horizontal="center" vertical="center" wrapText="1"/>
    </xf>
    <xf numFmtId="49" fontId="54" fillId="13" borderId="6" xfId="0" applyFont="1" applyFill="1" applyBorder="1" applyAlignment="1">
      <alignment horizontal="center" vertical="center" wrapText="1"/>
    </xf>
    <xf numFmtId="49" fontId="96" fillId="13" borderId="8" xfId="0" applyFont="1" applyFill="1" applyBorder="1" applyAlignment="1">
      <alignment horizontal="left" vertical="center" indent="2"/>
    </xf>
    <xf numFmtId="49" fontId="96" fillId="13" borderId="8" xfId="0" applyFont="1" applyFill="1" applyBorder="1" applyAlignment="1">
      <alignment horizontal="left" vertical="center" indent="1"/>
    </xf>
    <xf numFmtId="49" fontId="96" fillId="13" borderId="8" xfId="0" applyFont="1" applyFill="1" applyBorder="1" applyAlignment="1">
      <alignment horizontal="left" vertical="center"/>
    </xf>
    <xf numFmtId="0" fontId="6" fillId="10" borderId="0" xfId="0" applyNumberFormat="1" applyFont="1" applyFill="1" applyAlignment="1">
      <alignment horizontal="left" vertical="center" wrapText="1"/>
    </xf>
    <xf numFmtId="0" fontId="0" fillId="0" borderId="0" xfId="0" applyNumberFormat="1" applyAlignment="1">
      <alignment horizontal="left" vertical="center"/>
    </xf>
    <xf numFmtId="49" fontId="67" fillId="10" borderId="12" xfId="0" applyFont="1" applyFill="1" applyBorder="1" applyAlignment="1">
      <alignment horizontal="left" vertical="center" wrapText="1"/>
    </xf>
    <xf numFmtId="49" fontId="60" fillId="13" borderId="7" xfId="0" applyFont="1" applyFill="1" applyBorder="1" applyAlignment="1">
      <alignment horizontal="left" vertical="center"/>
    </xf>
    <xf numFmtId="49" fontId="88" fillId="13" borderId="7" xfId="0" applyFont="1" applyFill="1" applyBorder="1" applyAlignment="1">
      <alignment horizontal="left" vertical="center"/>
    </xf>
    <xf numFmtId="49" fontId="54" fillId="13" borderId="7" xfId="0" applyFont="1" applyFill="1" applyBorder="1" applyAlignment="1">
      <alignment horizontal="left" vertical="top"/>
    </xf>
    <xf numFmtId="0" fontId="41" fillId="23" borderId="0" xfId="0" applyNumberFormat="1" applyFont="1" applyFill="1" applyAlignment="1">
      <alignment horizontal="left" vertical="center"/>
    </xf>
    <xf numFmtId="49" fontId="6" fillId="0" borderId="13" xfId="0" applyFont="1" applyBorder="1" applyAlignment="1">
      <alignment horizontal="left" vertical="center" wrapTex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30" fillId="0" borderId="23" xfId="0" applyNumberFormat="1" applyFont="1" applyBorder="1" applyAlignment="1">
      <alignment horizontal="left" vertical="center"/>
    </xf>
    <xf numFmtId="0" fontId="30" fillId="0" borderId="20" xfId="0" applyNumberFormat="1" applyFont="1" applyBorder="1" applyAlignment="1">
      <alignment horizontal="left" vertical="center"/>
    </xf>
    <xf numFmtId="0" fontId="0" fillId="0" borderId="20" xfId="0" applyNumberFormat="1" applyBorder="1" applyAlignment="1">
      <alignment vertical="center"/>
    </xf>
    <xf numFmtId="0" fontId="30" fillId="0" borderId="22" xfId="0" applyNumberFormat="1" applyFont="1" applyBorder="1" applyAlignment="1">
      <alignment horizontal="left" vertical="center"/>
    </xf>
    <xf numFmtId="0" fontId="35" fillId="0" borderId="10" xfId="0" applyNumberFormat="1" applyFont="1" applyBorder="1" applyAlignment="1">
      <alignment vertical="top" wrapText="1"/>
    </xf>
    <xf numFmtId="0" fontId="6" fillId="0" borderId="0" xfId="0" applyNumberFormat="1" applyFont="1" applyAlignment="1">
      <alignment horizontal="center" vertical="center"/>
    </xf>
    <xf numFmtId="49" fontId="94" fillId="0" borderId="0" xfId="0" applyFont="1">
      <alignment vertical="top"/>
    </xf>
    <xf numFmtId="49" fontId="84" fillId="0" borderId="12" xfId="0" applyFont="1" applyBorder="1" applyAlignment="1">
      <alignment horizontal="left" vertical="center"/>
    </xf>
    <xf numFmtId="49" fontId="37" fillId="0" borderId="12" xfId="0" applyFont="1" applyBorder="1" applyAlignment="1">
      <alignment horizontal="left" vertical="center" indent="3"/>
    </xf>
    <xf numFmtId="49" fontId="37" fillId="0" borderId="12" xfId="0" applyFont="1" applyBorder="1" applyAlignment="1">
      <alignment horizontal="center" vertical="center" wrapText="1"/>
    </xf>
    <xf numFmtId="49" fontId="37" fillId="0" borderId="0" xfId="0" applyFont="1" applyAlignment="1">
      <alignment horizontal="left" vertical="center"/>
    </xf>
    <xf numFmtId="49" fontId="84" fillId="0" borderId="0" xfId="0" applyFont="1" applyAlignment="1">
      <alignment horizontal="left" vertical="center"/>
    </xf>
    <xf numFmtId="49" fontId="37" fillId="0" borderId="0" xfId="0" applyFont="1" applyAlignment="1">
      <alignment horizontal="left" vertical="center" indent="2"/>
    </xf>
    <xf numFmtId="49" fontId="37" fillId="0" borderId="0" xfId="0" applyFont="1" applyAlignment="1">
      <alignment horizontal="left" vertical="center" indent="1"/>
    </xf>
    <xf numFmtId="0" fontId="0" fillId="0" borderId="6" xfId="0" applyNumberFormat="1" applyBorder="1" applyAlignment="1">
      <alignment horizontal="center" vertical="center" wrapText="1"/>
    </xf>
    <xf numFmtId="49" fontId="6" fillId="0" borderId="5" xfId="0" applyFont="1" applyBorder="1" applyAlignment="1">
      <alignment vertical="center" wrapText="1"/>
    </xf>
    <xf numFmtId="0" fontId="6" fillId="16" borderId="5" xfId="0" applyNumberFormat="1" applyFont="1" applyFill="1" applyBorder="1" applyAlignment="1">
      <alignment horizontal="left" vertical="center" wrapText="1" indent="6"/>
    </xf>
    <xf numFmtId="4" fontId="6" fillId="0" borderId="10" xfId="0" applyNumberFormat="1" applyFont="1" applyBorder="1" applyAlignment="1">
      <alignment horizontal="right" vertical="center" wrapText="1"/>
    </xf>
    <xf numFmtId="4" fontId="6" fillId="0" borderId="16" xfId="0" applyNumberFormat="1" applyFont="1" applyBorder="1" applyAlignment="1">
      <alignment horizontal="right" vertical="center" wrapText="1"/>
    </xf>
    <xf numFmtId="168" fontId="36" fillId="0" borderId="5" xfId="0" applyNumberFormat="1" applyFont="1" applyBorder="1" applyAlignment="1">
      <alignment horizontal="right" vertical="center" wrapText="1"/>
    </xf>
    <xf numFmtId="0" fontId="36" fillId="0" borderId="0" xfId="0" applyNumberFormat="1" applyFont="1" applyAlignment="1">
      <alignment horizontal="left" vertical="center" indent="1"/>
    </xf>
    <xf numFmtId="0" fontId="36" fillId="0" borderId="0" xfId="0" applyNumberFormat="1" applyFont="1" applyAlignment="1">
      <alignment horizontal="center" vertical="center"/>
    </xf>
    <xf numFmtId="49" fontId="36" fillId="0" borderId="5" xfId="0" applyFont="1" applyBorder="1" applyAlignment="1">
      <alignment vertical="center" wrapText="1"/>
    </xf>
    <xf numFmtId="0" fontId="56" fillId="0" borderId="0" xfId="0" applyNumberFormat="1" applyFont="1" applyAlignment="1">
      <alignment vertical="center" wrapText="1"/>
    </xf>
    <xf numFmtId="0" fontId="0" fillId="0" borderId="8" xfId="0" applyNumberFormat="1" applyBorder="1" applyAlignment="1">
      <alignment vertical="center"/>
    </xf>
    <xf numFmtId="0" fontId="59" fillId="0" borderId="0" xfId="0" applyNumberFormat="1" applyFont="1" applyAlignment="1">
      <alignment horizontal="left" vertical="center" indent="1"/>
    </xf>
    <xf numFmtId="0" fontId="59" fillId="0" borderId="0" xfId="0" applyNumberFormat="1" applyFont="1" applyAlignment="1">
      <alignment horizontal="center" vertical="center"/>
    </xf>
    <xf numFmtId="0" fontId="59" fillId="0" borderId="0" xfId="0" applyNumberFormat="1" applyFont="1" applyAlignment="1">
      <alignment horizontal="left" vertical="center" wrapText="1"/>
    </xf>
    <xf numFmtId="49" fontId="59" fillId="0" borderId="0" xfId="0" applyFont="1" applyAlignment="1">
      <alignment horizontal="left" vertical="center"/>
    </xf>
    <xf numFmtId="4" fontId="6" fillId="0" borderId="6" xfId="0" applyNumberFormat="1" applyFont="1" applyBorder="1" applyAlignment="1">
      <alignment horizontal="right" vertical="center" wrapText="1"/>
    </xf>
    <xf numFmtId="0" fontId="37" fillId="0" borderId="5" xfId="0" applyNumberFormat="1" applyFont="1" applyBorder="1" applyAlignment="1">
      <alignment horizontal="left" vertical="center" wrapText="1" indent="4"/>
    </xf>
    <xf numFmtId="0" fontId="37" fillId="0" borderId="5" xfId="0" applyNumberFormat="1" applyFont="1" applyBorder="1" applyAlignment="1">
      <alignment horizontal="left" vertical="center" wrapText="1" indent="6"/>
    </xf>
    <xf numFmtId="0" fontId="37" fillId="0" borderId="5" xfId="0" applyNumberFormat="1" applyFont="1" applyBorder="1" applyAlignment="1">
      <alignment vertical="top" wrapText="1"/>
    </xf>
    <xf numFmtId="49" fontId="84" fillId="0" borderId="7" xfId="0" applyFont="1" applyBorder="1" applyAlignment="1">
      <alignment horizontal="left" vertical="center"/>
    </xf>
    <xf numFmtId="49" fontId="37" fillId="0" borderId="8" xfId="0" applyFont="1" applyBorder="1" applyAlignment="1">
      <alignment horizontal="left" vertical="center" indent="4"/>
    </xf>
    <xf numFmtId="49" fontId="37" fillId="0" borderId="8" xfId="0" applyFont="1" applyBorder="1" applyAlignment="1">
      <alignment horizontal="center" vertical="center" wrapText="1"/>
    </xf>
    <xf numFmtId="49" fontId="37" fillId="0" borderId="6" xfId="0" applyFont="1" applyBorder="1" applyAlignment="1">
      <alignment horizontal="center" vertical="center" wrapText="1"/>
    </xf>
    <xf numFmtId="4" fontId="6" fillId="0" borderId="29" xfId="0" applyNumberFormat="1" applyFont="1" applyBorder="1" applyAlignment="1">
      <alignment horizontal="right" vertical="center" wrapText="1"/>
    </xf>
    <xf numFmtId="0" fontId="6" fillId="12" borderId="5" xfId="0" applyNumberFormat="1" applyFont="1" applyFill="1" applyBorder="1" applyAlignment="1" applyProtection="1">
      <alignment horizontal="left" vertical="center" wrapText="1" indent="7"/>
      <protection locked="0"/>
    </xf>
    <xf numFmtId="0" fontId="6" fillId="13" borderId="8" xfId="0" applyNumberFormat="1" applyFont="1" applyFill="1" applyBorder="1" applyAlignment="1">
      <alignment horizontal="left" vertical="center" wrapText="1" indent="6"/>
    </xf>
    <xf numFmtId="4" fontId="6" fillId="13" borderId="8" xfId="0" applyNumberFormat="1" applyFont="1" applyFill="1" applyBorder="1" applyAlignment="1">
      <alignment horizontal="right" vertical="center" wrapText="1"/>
    </xf>
    <xf numFmtId="4" fontId="37" fillId="13" borderId="8" xfId="0" applyNumberFormat="1" applyFont="1" applyFill="1" applyBorder="1" applyAlignment="1">
      <alignment horizontal="center" vertical="center" wrapText="1"/>
    </xf>
    <xf numFmtId="4" fontId="6" fillId="13" borderId="6" xfId="0" applyNumberFormat="1" applyFont="1" applyFill="1" applyBorder="1" applyAlignment="1">
      <alignment horizontal="right" vertical="center" wrapText="1"/>
    </xf>
    <xf numFmtId="4" fontId="37" fillId="13" borderId="6" xfId="0" applyNumberFormat="1" applyFont="1" applyFill="1" applyBorder="1" applyAlignment="1">
      <alignment horizontal="center" vertical="center" wrapText="1"/>
    </xf>
    <xf numFmtId="168" fontId="6" fillId="13" borderId="6" xfId="0" applyNumberFormat="1" applyFont="1" applyFill="1" applyBorder="1" applyAlignment="1">
      <alignment horizontal="right" vertical="center" wrapText="1"/>
    </xf>
    <xf numFmtId="0" fontId="37" fillId="0" borderId="5" xfId="0" applyNumberFormat="1" applyFont="1" applyBorder="1" applyAlignment="1">
      <alignment horizontal="left" vertical="center" wrapText="1" indent="5"/>
    </xf>
    <xf numFmtId="49" fontId="59" fillId="0" borderId="17" xfId="0" applyFont="1" applyBorder="1">
      <alignment vertical="top"/>
    </xf>
    <xf numFmtId="49" fontId="37" fillId="0" borderId="17" xfId="0" applyFont="1" applyBorder="1">
      <alignment vertical="top"/>
    </xf>
    <xf numFmtId="168" fontId="37" fillId="0" borderId="5" xfId="0" applyNumberFormat="1" applyFont="1" applyBorder="1" applyAlignment="1">
      <alignment horizontal="right" vertical="center" wrapText="1"/>
    </xf>
    <xf numFmtId="168" fontId="6" fillId="12" borderId="7" xfId="0" applyNumberFormat="1" applyFont="1" applyFill="1" applyBorder="1" applyAlignment="1" applyProtection="1">
      <alignment horizontal="right" vertical="center" wrapText="1"/>
      <protection locked="0"/>
    </xf>
    <xf numFmtId="4" fontId="37" fillId="0" borderId="7" xfId="0" applyNumberFormat="1" applyFont="1" applyBorder="1" applyAlignment="1">
      <alignment horizontal="center" vertical="center" wrapText="1"/>
    </xf>
    <xf numFmtId="4" fontId="6" fillId="12" borderId="6" xfId="0" applyNumberFormat="1" applyFont="1" applyFill="1" applyBorder="1" applyAlignment="1" applyProtection="1">
      <alignment horizontal="right" vertical="center" wrapText="1"/>
      <protection locked="0"/>
    </xf>
    <xf numFmtId="49" fontId="6" fillId="13" borderId="20" xfId="0" applyFont="1" applyFill="1" applyBorder="1" applyAlignment="1">
      <alignment horizontal="center" vertical="center" wrapText="1"/>
    </xf>
    <xf numFmtId="0" fontId="43" fillId="10" borderId="0" xfId="0" applyNumberFormat="1" applyFont="1" applyFill="1" applyAlignment="1">
      <alignment horizontal="center" vertical="center" wrapText="1"/>
    </xf>
    <xf numFmtId="49" fontId="0" fillId="0" borderId="12" xfId="0" applyBorder="1" applyAlignment="1">
      <alignment horizontal="left" vertical="center" wrapText="1"/>
    </xf>
    <xf numFmtId="49" fontId="6" fillId="0" borderId="12" xfId="0" applyFont="1" applyBorder="1" applyAlignment="1">
      <alignment horizontal="center" vertical="center" wrapText="1"/>
    </xf>
    <xf numFmtId="49" fontId="22" fillId="0" borderId="0" xfId="0" applyFont="1" applyAlignment="1">
      <alignment horizontal="center" vertical="center"/>
    </xf>
    <xf numFmtId="0" fontId="41" fillId="0" borderId="0" xfId="0" applyNumberFormat="1" applyFont="1" applyAlignment="1">
      <alignment horizontal="left" vertical="center"/>
    </xf>
    <xf numFmtId="0" fontId="0" fillId="0" borderId="0" xfId="0" applyNumberFormat="1" applyAlignment="1">
      <alignment horizontal="right" vertical="top"/>
    </xf>
    <xf numFmtId="0" fontId="30" fillId="13" borderId="22" xfId="0" applyNumberFormat="1" applyFont="1" applyFill="1" applyBorder="1" applyAlignment="1">
      <alignment horizontal="left" vertical="center"/>
    </xf>
    <xf numFmtId="49" fontId="37" fillId="0" borderId="7" xfId="0" applyFont="1" applyBorder="1" applyAlignment="1">
      <alignment horizontal="left" vertical="center" wrapText="1"/>
    </xf>
    <xf numFmtId="0" fontId="37" fillId="0" borderId="7" xfId="0" applyNumberFormat="1" applyFont="1" applyBorder="1" applyAlignment="1">
      <alignment horizontal="left" vertical="center"/>
    </xf>
    <xf numFmtId="0" fontId="37" fillId="0" borderId="8" xfId="0" applyNumberFormat="1" applyFont="1" applyBorder="1" applyAlignment="1">
      <alignment horizontal="left" vertical="center"/>
    </xf>
    <xf numFmtId="49" fontId="6" fillId="12" borderId="5" xfId="0" applyFont="1" applyFill="1" applyBorder="1" applyAlignment="1" applyProtection="1">
      <alignment horizontal="left" vertical="center" wrapText="1" indent="6"/>
      <protection locked="0"/>
    </xf>
    <xf numFmtId="4" fontId="6" fillId="0" borderId="30" xfId="0" applyNumberFormat="1" applyFont="1" applyBorder="1" applyAlignment="1">
      <alignment horizontal="right" vertical="center" wrapText="1"/>
    </xf>
    <xf numFmtId="49" fontId="0" fillId="13" borderId="22" xfId="0" applyFill="1" applyBorder="1" applyAlignment="1">
      <alignment horizontal="center" vertical="center" wrapText="1"/>
    </xf>
    <xf numFmtId="0" fontId="97" fillId="0" borderId="0" xfId="0" applyNumberFormat="1" applyFont="1" applyAlignment="1">
      <alignment vertical="center" wrapText="1"/>
    </xf>
    <xf numFmtId="49" fontId="37" fillId="0" borderId="5" xfId="0" applyFont="1" applyBorder="1" applyAlignment="1">
      <alignment horizontal="center" vertical="center" wrapText="1"/>
    </xf>
    <xf numFmtId="0" fontId="37" fillId="10" borderId="0" xfId="0" applyNumberFormat="1" applyFont="1" applyFill="1" applyAlignment="1">
      <alignment horizontal="center" vertical="center" wrapText="1"/>
    </xf>
    <xf numFmtId="0" fontId="6" fillId="10" borderId="17" xfId="0" applyNumberFormat="1" applyFont="1" applyFill="1" applyBorder="1" applyAlignment="1">
      <alignment horizontal="center" vertical="center" wrapText="1"/>
    </xf>
    <xf numFmtId="168" fontId="6" fillId="13" borderId="8" xfId="0" applyNumberFormat="1" applyFont="1" applyFill="1" applyBorder="1" applyAlignment="1">
      <alignment horizontal="right" vertical="center" wrapText="1"/>
    </xf>
    <xf numFmtId="0" fontId="98" fillId="0" borderId="0" xfId="0" applyNumberFormat="1" applyFont="1" applyAlignment="1">
      <alignment vertical="center" wrapText="1"/>
    </xf>
    <xf numFmtId="0" fontId="98" fillId="10" borderId="0" xfId="0" applyNumberFormat="1" applyFont="1" applyFill="1" applyAlignment="1">
      <alignment horizontal="center" vertical="center" wrapText="1"/>
    </xf>
    <xf numFmtId="0" fontId="37" fillId="10" borderId="5" xfId="0" applyNumberFormat="1" applyFont="1" applyFill="1" applyBorder="1" applyAlignment="1">
      <alignment horizontal="left" vertical="center" wrapText="1" indent="3"/>
    </xf>
    <xf numFmtId="49" fontId="30" fillId="13" borderId="20" xfId="0" applyFont="1" applyFill="1" applyBorder="1" applyAlignment="1">
      <alignment horizontal="left" vertical="center"/>
    </xf>
    <xf numFmtId="0" fontId="98" fillId="0" borderId="0" xfId="0" applyNumberFormat="1" applyFont="1" applyAlignment="1">
      <alignment horizontal="center" vertical="center" wrapText="1"/>
    </xf>
    <xf numFmtId="49" fontId="37" fillId="0" borderId="0" xfId="0" applyFont="1" applyAlignment="1">
      <alignment horizontal="left" vertical="center" wrapText="1" indent="1"/>
    </xf>
    <xf numFmtId="0" fontId="37" fillId="0" borderId="0" xfId="0" applyNumberFormat="1" applyFont="1" applyAlignment="1">
      <alignment horizontal="left" vertical="center" wrapText="1" indent="4"/>
    </xf>
    <xf numFmtId="49" fontId="6" fillId="13" borderId="7" xfId="0" applyFont="1" applyFill="1" applyBorder="1" applyAlignment="1">
      <alignment horizontal="center" vertical="center" wrapText="1"/>
    </xf>
    <xf numFmtId="0" fontId="37" fillId="0" borderId="17" xfId="0" applyNumberFormat="1" applyFont="1" applyBorder="1" applyAlignment="1">
      <alignment horizontal="left" vertical="center" wrapText="1" indent="1"/>
    </xf>
    <xf numFmtId="0" fontId="36" fillId="0" borderId="0" xfId="0" applyNumberFormat="1" applyFont="1" applyAlignment="1">
      <alignment horizontal="left" vertical="center"/>
    </xf>
    <xf numFmtId="49" fontId="36" fillId="0" borderId="0" xfId="0" applyFont="1" applyAlignment="1">
      <alignment horizontal="left" vertical="center"/>
    </xf>
    <xf numFmtId="0" fontId="56" fillId="0" borderId="0" xfId="0" applyNumberFormat="1" applyFont="1" applyAlignment="1">
      <alignment horizontal="left" vertical="center"/>
    </xf>
    <xf numFmtId="0" fontId="37" fillId="0" borderId="0" xfId="0" applyNumberFormat="1" applyFont="1" applyAlignment="1">
      <alignment horizontal="left" vertical="center"/>
    </xf>
    <xf numFmtId="49" fontId="6" fillId="0" borderId="12" xfId="0" applyFont="1" applyBorder="1" applyAlignment="1">
      <alignment horizontal="left" vertical="center" wrapText="1"/>
    </xf>
    <xf numFmtId="49" fontId="36" fillId="0" borderId="0" xfId="0" applyFont="1" applyAlignment="1">
      <alignment horizontal="left" vertical="top"/>
    </xf>
    <xf numFmtId="49" fontId="6" fillId="10" borderId="5" xfId="0" applyFont="1" applyFill="1" applyBorder="1" applyAlignment="1">
      <alignment horizontal="center" vertical="center"/>
    </xf>
    <xf numFmtId="49" fontId="6" fillId="0" borderId="5" xfId="0" applyFont="1" applyBorder="1" applyAlignment="1">
      <alignment horizontal="center" vertical="center"/>
    </xf>
    <xf numFmtId="0" fontId="37" fillId="10" borderId="5" xfId="0" applyNumberFormat="1" applyFont="1" applyFill="1" applyBorder="1" applyAlignment="1">
      <alignment horizontal="center" vertical="center"/>
    </xf>
    <xf numFmtId="0" fontId="59" fillId="10" borderId="0" xfId="0" applyNumberFormat="1" applyFont="1" applyFill="1" applyAlignment="1">
      <alignment vertical="center" wrapText="1"/>
    </xf>
    <xf numFmtId="0" fontId="54" fillId="10" borderId="0" xfId="0" applyNumberFormat="1" applyFont="1" applyFill="1" applyAlignment="1"/>
    <xf numFmtId="0" fontId="71" fillId="10" borderId="0" xfId="0" applyNumberFormat="1" applyFont="1" applyFill="1" applyAlignment="1"/>
    <xf numFmtId="0" fontId="55" fillId="10" borderId="0" xfId="0" applyNumberFormat="1" applyFont="1" applyFill="1" applyAlignment="1"/>
    <xf numFmtId="14" fontId="6" fillId="15" borderId="16" xfId="0" applyNumberFormat="1" applyFont="1" applyFill="1" applyBorder="1" applyAlignment="1" applyProtection="1">
      <alignment horizontal="left" vertical="center" wrapText="1" indent="1"/>
      <protection locked="0"/>
    </xf>
    <xf numFmtId="0" fontId="99" fillId="0" borderId="0" xfId="0" applyNumberFormat="1" applyFont="1" applyAlignment="1">
      <alignment vertical="center"/>
    </xf>
    <xf numFmtId="0" fontId="99" fillId="0" borderId="0" xfId="0" applyNumberFormat="1" applyFont="1" applyAlignment="1">
      <alignment vertical="center" wrapText="1"/>
    </xf>
    <xf numFmtId="167" fontId="6" fillId="0" borderId="16" xfId="0" applyNumberFormat="1" applyFont="1" applyBorder="1" applyAlignment="1">
      <alignment horizontal="center" vertical="center" wrapText="1"/>
    </xf>
    <xf numFmtId="14" fontId="6" fillId="15" borderId="5" xfId="0" applyNumberFormat="1" applyFont="1" applyFill="1" applyBorder="1" applyAlignment="1" applyProtection="1">
      <alignment horizontal="left" vertical="center" wrapText="1" indent="1"/>
      <protection locked="0"/>
    </xf>
    <xf numFmtId="0" fontId="6" fillId="11" borderId="16" xfId="0" applyNumberFormat="1" applyFont="1" applyFill="1" applyBorder="1" applyAlignment="1">
      <alignment horizontal="left" vertical="center" wrapText="1" indent="1"/>
    </xf>
    <xf numFmtId="167" fontId="6" fillId="0" borderId="10" xfId="0" applyNumberFormat="1" applyFont="1" applyBorder="1" applyAlignment="1">
      <alignment horizontal="center" vertical="center" wrapText="1"/>
    </xf>
    <xf numFmtId="49" fontId="18" fillId="13" borderId="23" xfId="0" applyFont="1" applyFill="1" applyBorder="1" applyAlignment="1">
      <alignment horizontal="right" vertical="center" wrapText="1"/>
    </xf>
    <xf numFmtId="49" fontId="0" fillId="13" borderId="20" xfId="0" applyFill="1" applyBorder="1" applyAlignment="1">
      <alignment horizontal="right" vertical="center" wrapText="1"/>
    </xf>
    <xf numFmtId="49" fontId="16" fillId="13" borderId="20" xfId="0" applyFont="1" applyFill="1" applyBorder="1" applyAlignment="1">
      <alignment horizontal="left" vertical="center" wrapText="1"/>
    </xf>
    <xf numFmtId="0" fontId="37" fillId="0" borderId="20" xfId="0" applyNumberFormat="1" applyFont="1" applyBorder="1" applyAlignment="1">
      <alignment horizontal="center" vertical="center" wrapText="1"/>
    </xf>
    <xf numFmtId="0" fontId="32" fillId="0" borderId="0" xfId="0" applyNumberFormat="1" applyFont="1" applyAlignment="1">
      <alignment horizontal="center" vertical="center" wrapText="1"/>
    </xf>
    <xf numFmtId="14" fontId="6" fillId="16" borderId="5" xfId="0" applyNumberFormat="1" applyFont="1" applyFill="1" applyBorder="1" applyAlignment="1">
      <alignment horizontal="left" vertical="center" wrapText="1"/>
    </xf>
    <xf numFmtId="167" fontId="6" fillId="0" borderId="30" xfId="0" applyNumberFormat="1" applyFont="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0" fontId="36" fillId="10" borderId="0" xfId="0" applyNumberFormat="1" applyFont="1" applyFill="1" applyAlignment="1"/>
    <xf numFmtId="0" fontId="6" fillId="11" borderId="7" xfId="0" applyNumberFormat="1" applyFont="1" applyFill="1" applyBorder="1" applyAlignment="1">
      <alignment horizontal="left" vertical="top" wrapText="1"/>
    </xf>
    <xf numFmtId="49" fontId="37" fillId="0" borderId="0" xfId="0" applyFont="1" applyAlignment="1">
      <alignment horizontal="center" vertical="center"/>
    </xf>
    <xf numFmtId="49" fontId="54" fillId="0" borderId="0" xfId="0" applyFont="1">
      <alignment vertical="top"/>
    </xf>
    <xf numFmtId="0" fontId="32" fillId="0" borderId="0" xfId="0" applyNumberFormat="1" applyFont="1" applyAlignment="1">
      <alignment vertical="center"/>
    </xf>
    <xf numFmtId="0" fontId="6" fillId="0" borderId="29" xfId="0" applyNumberFormat="1" applyFont="1" applyBorder="1" applyAlignment="1">
      <alignment horizontal="center" vertical="center" wrapText="1"/>
    </xf>
    <xf numFmtId="0" fontId="6" fillId="0" borderId="30"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49" fontId="6" fillId="0" borderId="29" xfId="0" applyFont="1" applyBorder="1" applyAlignment="1">
      <alignment horizontal="left" vertical="center" wrapText="1"/>
    </xf>
    <xf numFmtId="49" fontId="6" fillId="0" borderId="29" xfId="0" applyFont="1" applyBorder="1" applyAlignment="1">
      <alignment horizontal="center" vertical="center" wrapText="1"/>
    </xf>
    <xf numFmtId="0" fontId="6" fillId="0" borderId="29" xfId="0" applyNumberFormat="1" applyFont="1" applyBorder="1" applyAlignment="1">
      <alignment horizontal="left" vertical="center" wrapText="1"/>
    </xf>
    <xf numFmtId="49" fontId="6" fillId="0" borderId="29" xfId="0" applyFont="1" applyBorder="1" applyAlignment="1">
      <alignment vertical="center" wrapText="1"/>
    </xf>
    <xf numFmtId="0" fontId="30" fillId="0" borderId="16" xfId="0" applyNumberFormat="1" applyFont="1" applyBorder="1" applyAlignment="1">
      <alignment horizontal="left" vertical="center"/>
    </xf>
    <xf numFmtId="0" fontId="30" fillId="0" borderId="29" xfId="0" applyNumberFormat="1" applyFont="1" applyBorder="1" applyAlignment="1">
      <alignment horizontal="left" vertical="center"/>
    </xf>
    <xf numFmtId="0" fontId="30" fillId="13" borderId="30" xfId="0" applyNumberFormat="1" applyFont="1" applyFill="1" applyBorder="1" applyAlignment="1">
      <alignment horizontal="left" vertical="center"/>
    </xf>
    <xf numFmtId="49" fontId="54" fillId="13" borderId="7" xfId="0" applyFont="1" applyFill="1" applyBorder="1">
      <alignment vertical="top"/>
    </xf>
    <xf numFmtId="49" fontId="54" fillId="13" borderId="8" xfId="0" applyFont="1" applyFill="1" applyBorder="1">
      <alignment vertical="top"/>
    </xf>
    <xf numFmtId="49" fontId="6" fillId="16" borderId="10" xfId="0" applyFont="1" applyFill="1" applyBorder="1" applyAlignment="1">
      <alignment vertical="center" wrapText="1"/>
    </xf>
    <xf numFmtId="49" fontId="36" fillId="0" borderId="0" xfId="0" applyFont="1" applyAlignment="1">
      <alignment horizontal="center" vertical="center"/>
    </xf>
    <xf numFmtId="0" fontId="100" fillId="0" borderId="0" xfId="0" applyNumberFormat="1" applyFont="1" applyAlignment="1">
      <alignment vertical="center" wrapText="1"/>
    </xf>
    <xf numFmtId="0" fontId="101" fillId="0" borderId="0" xfId="0" applyNumberFormat="1" applyFont="1" applyAlignment="1">
      <alignment vertical="center" wrapText="1"/>
    </xf>
    <xf numFmtId="0" fontId="6" fillId="0" borderId="10" xfId="0" applyNumberFormat="1" applyFont="1" applyBorder="1" applyAlignment="1">
      <alignment horizontal="left" vertical="center" wrapText="1"/>
    </xf>
    <xf numFmtId="49" fontId="6" fillId="0" borderId="12" xfId="0" applyFont="1" applyBorder="1" applyAlignment="1">
      <alignment vertical="center" wrapText="1"/>
    </xf>
    <xf numFmtId="49" fontId="27" fillId="0" borderId="12" xfId="0" applyFont="1" applyBorder="1" applyAlignment="1">
      <alignment vertical="center" wrapText="1"/>
    </xf>
    <xf numFmtId="0" fontId="6" fillId="0" borderId="12" xfId="0" applyNumberFormat="1" applyFont="1" applyBorder="1" applyAlignment="1">
      <alignment horizontal="left" vertical="center" wrapText="1"/>
    </xf>
    <xf numFmtId="49" fontId="27" fillId="0" borderId="0" xfId="0" applyFont="1" applyAlignment="1">
      <alignment vertical="center" wrapText="1"/>
    </xf>
    <xf numFmtId="0" fontId="30" fillId="0" borderId="0" xfId="0" applyNumberFormat="1" applyFont="1" applyAlignment="1">
      <alignment vertical="center"/>
    </xf>
    <xf numFmtId="49" fontId="54" fillId="0" borderId="23" xfId="0" applyFont="1" applyBorder="1">
      <alignment vertical="top"/>
    </xf>
    <xf numFmtId="49" fontId="6" fillId="0" borderId="30" xfId="0" applyFont="1" applyBorder="1" applyAlignment="1">
      <alignment vertical="center" wrapText="1"/>
    </xf>
    <xf numFmtId="49" fontId="6" fillId="0" borderId="15" xfId="0" applyFont="1" applyBorder="1" applyAlignment="1">
      <alignment vertical="center" wrapText="1"/>
    </xf>
    <xf numFmtId="0" fontId="30" fillId="0" borderId="15" xfId="0" applyNumberFormat="1" applyFont="1" applyBorder="1" applyAlignment="1">
      <alignment horizontal="left" vertical="center"/>
    </xf>
    <xf numFmtId="49" fontId="54" fillId="0" borderId="20" xfId="0" applyFont="1" applyBorder="1">
      <alignment vertical="top"/>
    </xf>
    <xf numFmtId="0" fontId="30" fillId="13" borderId="30" xfId="0" applyNumberFormat="1" applyFont="1" applyFill="1" applyBorder="1" applyAlignment="1">
      <alignment vertical="center"/>
    </xf>
    <xf numFmtId="0" fontId="27" fillId="10" borderId="5" xfId="0" applyNumberFormat="1" applyFont="1" applyFill="1" applyBorder="1" applyAlignment="1">
      <alignment horizontal="center" vertical="center" wrapText="1"/>
    </xf>
    <xf numFmtId="3" fontId="6" fillId="15" borderId="5" xfId="0" applyNumberFormat="1" applyFont="1" applyFill="1" applyBorder="1" applyAlignment="1" applyProtection="1">
      <alignment horizontal="right" vertical="center" wrapText="1"/>
      <protection locked="0"/>
    </xf>
    <xf numFmtId="0" fontId="6" fillId="0" borderId="10" xfId="0" applyNumberFormat="1" applyFont="1" applyBorder="1" applyAlignment="1">
      <alignment horizontal="left" vertical="center" wrapText="1" indent="1"/>
    </xf>
    <xf numFmtId="49" fontId="6" fillId="0" borderId="50" xfId="0" applyFont="1" applyBorder="1" applyAlignment="1">
      <alignment horizontal="center" vertical="center" wrapText="1"/>
    </xf>
    <xf numFmtId="49" fontId="6" fillId="0" borderId="21" xfId="0" applyFont="1" applyBorder="1" applyAlignment="1">
      <alignment horizontal="center" vertical="center" wrapText="1"/>
    </xf>
    <xf numFmtId="0" fontId="37" fillId="0" borderId="10" xfId="0" applyNumberFormat="1" applyFont="1" applyBorder="1" applyAlignment="1">
      <alignment horizontal="center" vertical="center" wrapText="1"/>
    </xf>
    <xf numFmtId="0" fontId="37" fillId="0" borderId="7" xfId="0" applyNumberFormat="1" applyFont="1" applyBorder="1" applyAlignment="1">
      <alignment vertical="center" wrapText="1"/>
    </xf>
    <xf numFmtId="0" fontId="37" fillId="0" borderId="7" xfId="0" applyNumberFormat="1" applyFont="1" applyBorder="1" applyAlignment="1">
      <alignment horizontal="left" vertical="top" wrapText="1"/>
    </xf>
    <xf numFmtId="49" fontId="6" fillId="0" borderId="51" xfId="0" applyFont="1" applyBorder="1" applyAlignment="1">
      <alignment horizontal="center" vertical="center" wrapText="1"/>
    </xf>
    <xf numFmtId="49" fontId="30" fillId="13" borderId="12" xfId="0" applyFont="1" applyFill="1" applyBorder="1" applyAlignment="1">
      <alignment horizontal="left" vertical="center" indent="2"/>
    </xf>
    <xf numFmtId="49" fontId="6" fillId="0" borderId="52" xfId="0" applyFont="1" applyBorder="1" applyAlignment="1">
      <alignment horizontal="center" vertical="center" wrapText="1"/>
    </xf>
    <xf numFmtId="4" fontId="6" fillId="15" borderId="10" xfId="0" applyNumberFormat="1" applyFont="1" applyFill="1" applyBorder="1" applyAlignment="1" applyProtection="1">
      <alignment horizontal="right" vertical="center" wrapText="1"/>
      <protection locked="0"/>
    </xf>
    <xf numFmtId="49" fontId="30" fillId="0" borderId="12" xfId="0" applyFont="1" applyBorder="1" applyAlignment="1">
      <alignment horizontal="left" vertical="center"/>
    </xf>
    <xf numFmtId="49" fontId="30" fillId="0" borderId="12" xfId="0" applyFont="1" applyBorder="1" applyAlignment="1">
      <alignment horizontal="left" vertical="center" indent="2"/>
    </xf>
    <xf numFmtId="49" fontId="34" fillId="0" borderId="12" xfId="0" applyFont="1" applyBorder="1" applyAlignment="1">
      <alignment horizontal="center" vertical="top"/>
    </xf>
    <xf numFmtId="0" fontId="6" fillId="0" borderId="12" xfId="0" applyNumberFormat="1" applyFont="1" applyBorder="1" applyAlignment="1">
      <alignment horizontal="left" vertical="top" wrapText="1"/>
    </xf>
    <xf numFmtId="49" fontId="6" fillId="16" borderId="7" xfId="0" applyFont="1" applyFill="1" applyBorder="1" applyAlignment="1">
      <alignment horizontal="left" vertical="center" wrapText="1"/>
    </xf>
    <xf numFmtId="0" fontId="0" fillId="10" borderId="16" xfId="0" applyNumberFormat="1" applyFill="1" applyBorder="1" applyAlignment="1">
      <alignment vertical="center" wrapText="1"/>
    </xf>
    <xf numFmtId="0" fontId="0" fillId="23" borderId="3" xfId="0" applyNumberFormat="1" applyFill="1" applyBorder="1" applyAlignment="1">
      <alignment horizontal="center"/>
    </xf>
    <xf numFmtId="0" fontId="0" fillId="0" borderId="3" xfId="0" applyNumberFormat="1" applyBorder="1" applyAlignment="1">
      <alignment horizontal="center"/>
    </xf>
    <xf numFmtId="0" fontId="102" fillId="0" borderId="0" xfId="0" applyNumberFormat="1" applyFont="1" applyAlignment="1">
      <alignment wrapText="1"/>
    </xf>
    <xf numFmtId="49" fontId="53" fillId="0" borderId="0" xfId="0" applyFont="1" applyAlignment="1">
      <alignment wrapText="1"/>
    </xf>
    <xf numFmtId="49" fontId="53" fillId="0" borderId="0" xfId="0" applyFont="1" applyAlignment="1">
      <alignment vertical="center" wrapText="1"/>
    </xf>
    <xf numFmtId="49" fontId="103" fillId="0" borderId="0" xfId="0" applyFont="1" applyAlignment="1">
      <alignment wrapText="1"/>
    </xf>
    <xf numFmtId="0" fontId="89" fillId="0" borderId="0" xfId="0" applyNumberFormat="1" applyFont="1" applyAlignment="1">
      <alignment horizontal="left" vertical="center" wrapText="1"/>
    </xf>
    <xf numFmtId="49" fontId="104" fillId="0" borderId="0" xfId="0" applyFont="1" applyAlignment="1">
      <alignment wrapText="1"/>
    </xf>
    <xf numFmtId="0" fontId="5" fillId="0" borderId="0" xfId="0" applyNumberFormat="1" applyFont="1" applyAlignment="1">
      <alignment horizontal="left" vertical="top" wrapText="1"/>
    </xf>
    <xf numFmtId="49" fontId="6" fillId="0" borderId="0" xfId="0" applyFont="1" applyAlignment="1">
      <alignment vertical="top" wrapText="1"/>
    </xf>
    <xf numFmtId="0" fontId="53" fillId="0" borderId="0" xfId="0" applyNumberFormat="1" applyFont="1" applyAlignment="1">
      <alignment wrapText="1"/>
    </xf>
    <xf numFmtId="0" fontId="105" fillId="0" borderId="0" xfId="0" applyNumberFormat="1" applyFont="1" applyAlignment="1">
      <alignment horizontal="left" vertical="center" wrapText="1"/>
    </xf>
    <xf numFmtId="0" fontId="106" fillId="0" borderId="0" xfId="0" applyNumberFormat="1" applyFont="1" applyAlignment="1">
      <alignment vertical="center" wrapText="1"/>
    </xf>
    <xf numFmtId="0" fontId="53" fillId="0" borderId="31" xfId="0" applyNumberFormat="1" applyFont="1" applyBorder="1" applyAlignment="1">
      <alignment wrapText="1"/>
    </xf>
    <xf numFmtId="0" fontId="53" fillId="0" borderId="0" xfId="0" applyNumberFormat="1" applyFont="1" applyAlignment="1"/>
    <xf numFmtId="0" fontId="105" fillId="0" borderId="0" xfId="0" applyNumberFormat="1" applyFont="1" applyAlignment="1"/>
    <xf numFmtId="0" fontId="107" fillId="0" borderId="0" xfId="0" applyNumberFormat="1" applyFont="1" applyAlignment="1">
      <alignment wrapText="1"/>
    </xf>
    <xf numFmtId="0" fontId="0" fillId="12" borderId="53" xfId="0" applyNumberFormat="1" applyFill="1" applyBorder="1" applyAlignment="1">
      <alignment horizontal="center" vertical="center" wrapText="1"/>
    </xf>
    <xf numFmtId="0" fontId="0" fillId="28" borderId="53" xfId="0" applyNumberFormat="1" applyFill="1" applyBorder="1" applyAlignment="1">
      <alignment horizontal="center" vertical="center" wrapText="1"/>
    </xf>
    <xf numFmtId="0" fontId="0" fillId="11" borderId="53" xfId="0" applyNumberFormat="1" applyFill="1" applyBorder="1" applyAlignment="1">
      <alignment horizontal="center" vertical="center" wrapText="1"/>
    </xf>
    <xf numFmtId="0" fontId="0" fillId="15" borderId="53" xfId="0" applyNumberFormat="1" applyFill="1" applyBorder="1" applyAlignment="1">
      <alignment horizontal="center" vertical="center" wrapText="1"/>
    </xf>
    <xf numFmtId="0" fontId="105" fillId="0" borderId="31" xfId="0" applyNumberFormat="1" applyFont="1" applyBorder="1" applyAlignment="1">
      <alignment horizontal="left" vertical="center" wrapText="1"/>
    </xf>
    <xf numFmtId="0" fontId="105" fillId="0" borderId="54" xfId="0" applyNumberFormat="1" applyFont="1" applyBorder="1" applyAlignment="1">
      <alignment horizontal="left" vertical="center" wrapText="1"/>
    </xf>
    <xf numFmtId="0" fontId="107" fillId="0" borderId="0" xfId="0" applyNumberFormat="1" applyFont="1" applyAlignment="1"/>
    <xf numFmtId="0" fontId="107" fillId="0" borderId="31" xfId="0" applyNumberFormat="1" applyFont="1" applyBorder="1" applyAlignment="1">
      <alignment wrapText="1"/>
    </xf>
    <xf numFmtId="0" fontId="53" fillId="0" borderId="55" xfId="0" applyNumberFormat="1" applyFont="1" applyBorder="1" applyAlignment="1">
      <alignment wrapText="1"/>
    </xf>
    <xf numFmtId="0" fontId="53" fillId="0" borderId="32" xfId="0" applyNumberFormat="1" applyFont="1" applyBorder="1" applyAlignment="1">
      <alignment wrapText="1"/>
    </xf>
    <xf numFmtId="0" fontId="53" fillId="0" borderId="32" xfId="0" applyNumberFormat="1" applyFont="1" applyBorder="1" applyAlignment="1">
      <alignment vertical="center" wrapText="1"/>
    </xf>
    <xf numFmtId="0" fontId="103" fillId="0" borderId="0" xfId="0" applyNumberFormat="1" applyFont="1" applyAlignment="1"/>
    <xf numFmtId="0" fontId="26" fillId="0" borderId="17" xfId="0" applyNumberFormat="1" applyFont="1" applyBorder="1" applyAlignment="1">
      <alignment horizontal="center" vertical="center" wrapText="1"/>
    </xf>
    <xf numFmtId="49" fontId="6" fillId="0" borderId="6" xfId="0" applyFont="1" applyBorder="1" applyAlignment="1">
      <alignment horizontal="center" vertical="center" wrapText="1"/>
    </xf>
    <xf numFmtId="49" fontId="108" fillId="0" borderId="0" xfId="0" applyFont="1" applyAlignment="1">
      <alignment horizontal="center" vertical="center" wrapText="1"/>
    </xf>
    <xf numFmtId="49" fontId="6" fillId="23" borderId="0" xfId="0" applyFont="1" applyFill="1" applyAlignment="1">
      <alignment horizontal="center" vertical="center"/>
    </xf>
    <xf numFmtId="170" fontId="0" fillId="15" borderId="5" xfId="0" applyNumberFormat="1" applyFill="1" applyBorder="1" applyAlignment="1" applyProtection="1">
      <alignment horizontal="left" vertical="center" wrapText="1" indent="1"/>
      <protection locked="0"/>
    </xf>
    <xf numFmtId="170" fontId="0" fillId="0" borderId="5" xfId="0" applyNumberFormat="1" applyBorder="1" applyAlignment="1">
      <alignment horizontal="left" vertical="center" wrapText="1" indent="1"/>
    </xf>
    <xf numFmtId="170" fontId="0" fillId="15" borderId="5" xfId="0" applyNumberFormat="1" applyFill="1" applyBorder="1" applyAlignment="1" applyProtection="1">
      <alignment horizontal="center" vertical="center" wrapText="1"/>
      <protection locked="0"/>
    </xf>
    <xf numFmtId="170" fontId="37" fillId="0" borderId="0" xfId="0" applyNumberFormat="1" applyFont="1" applyAlignment="1">
      <alignment horizontal="center" vertical="center" wrapText="1"/>
    </xf>
    <xf numFmtId="170" fontId="37" fillId="0" borderId="5" xfId="0" applyNumberFormat="1" applyFont="1" applyBorder="1" applyAlignment="1">
      <alignment horizontal="center" vertical="center" wrapText="1"/>
    </xf>
    <xf numFmtId="170" fontId="0" fillId="15" borderId="5" xfId="0" applyNumberFormat="1" applyFill="1" applyBorder="1" applyAlignment="1" applyProtection="1">
      <alignment horizontal="left" vertical="center" wrapText="1"/>
      <protection locked="0"/>
    </xf>
    <xf numFmtId="170" fontId="0" fillId="12" borderId="5" xfId="0" applyNumberFormat="1" applyFill="1" applyBorder="1" applyAlignment="1" applyProtection="1">
      <alignment horizontal="left" vertical="center" wrapText="1" indent="1"/>
      <protection locked="0"/>
    </xf>
    <xf numFmtId="170" fontId="0" fillId="15" borderId="6" xfId="0" applyNumberFormat="1" applyFill="1" applyBorder="1" applyAlignment="1" applyProtection="1">
      <alignment horizontal="left" vertical="center" wrapText="1"/>
      <protection locked="0"/>
    </xf>
    <xf numFmtId="0" fontId="6" fillId="0" borderId="0" xfId="0" applyNumberFormat="1" applyFont="1" applyAlignment="1">
      <alignment horizontal="left" vertical="top" indent="1"/>
    </xf>
    <xf numFmtId="0" fontId="6" fillId="11" borderId="23" xfId="0" applyNumberFormat="1" applyFont="1" applyFill="1" applyBorder="1" applyAlignment="1">
      <alignment horizontal="center" vertical="top"/>
    </xf>
    <xf numFmtId="0" fontId="0" fillId="0" borderId="27" xfId="0" applyNumberFormat="1" applyBorder="1" applyAlignment="1">
      <alignment horizontal="center" vertical="center"/>
    </xf>
    <xf numFmtId="0" fontId="0" fillId="0" borderId="26" xfId="0" applyNumberFormat="1" applyBorder="1" applyAlignment="1">
      <alignment horizontal="center" vertical="center"/>
    </xf>
    <xf numFmtId="0" fontId="6" fillId="11" borderId="23" xfId="0" applyNumberFormat="1" applyFont="1" applyFill="1" applyBorder="1" applyAlignment="1">
      <alignment horizontal="left" vertical="top"/>
    </xf>
    <xf numFmtId="0" fontId="6" fillId="0" borderId="5" xfId="0" applyNumberFormat="1" applyFont="1" applyBorder="1" applyAlignment="1">
      <alignment horizontal="left" vertical="top"/>
    </xf>
    <xf numFmtId="49" fontId="6" fillId="0" borderId="0" xfId="0" applyFont="1" applyAlignment="1">
      <alignment horizontal="left" vertical="top"/>
    </xf>
    <xf numFmtId="0" fontId="0" fillId="11" borderId="29" xfId="0" applyNumberFormat="1" applyFill="1" applyBorder="1" applyAlignment="1">
      <alignment horizontal="left" vertical="top" wrapText="1" indent="1"/>
    </xf>
    <xf numFmtId="49" fontId="6" fillId="16" borderId="29" xfId="0" applyFont="1" applyFill="1" applyBorder="1" applyAlignment="1">
      <alignment horizontal="center" vertical="top" wrapText="1"/>
    </xf>
    <xf numFmtId="49" fontId="0" fillId="15" borderId="29" xfId="0" applyFill="1" applyBorder="1" applyAlignment="1" applyProtection="1">
      <alignment horizontal="center" vertical="top" wrapText="1"/>
      <protection locked="0"/>
    </xf>
    <xf numFmtId="49" fontId="0" fillId="12" borderId="29" xfId="0" applyFill="1" applyBorder="1" applyAlignment="1" applyProtection="1">
      <alignment horizontal="center" vertical="top" wrapText="1"/>
      <protection locked="0"/>
    </xf>
    <xf numFmtId="49" fontId="6" fillId="16" borderId="29" xfId="0" applyFont="1" applyFill="1" applyBorder="1" applyAlignment="1">
      <alignment horizontal="left" vertical="top" wrapText="1"/>
    </xf>
    <xf numFmtId="49" fontId="6" fillId="15" borderId="29" xfId="0" applyFont="1" applyFill="1" applyBorder="1" applyAlignment="1" applyProtection="1">
      <alignment horizontal="left" vertical="top" wrapText="1"/>
      <protection locked="0"/>
    </xf>
    <xf numFmtId="49" fontId="0" fillId="11" borderId="29" xfId="0" applyFill="1" applyBorder="1" applyAlignment="1">
      <alignment horizontal="center" vertical="top" wrapText="1"/>
    </xf>
    <xf numFmtId="0" fontId="6" fillId="11" borderId="29" xfId="0" applyNumberFormat="1" applyFont="1" applyFill="1" applyBorder="1" applyAlignment="1">
      <alignment horizontal="center" vertical="top" wrapText="1"/>
    </xf>
    <xf numFmtId="0" fontId="6" fillId="12" borderId="29" xfId="0" applyNumberFormat="1" applyFont="1" applyFill="1" applyBorder="1" applyAlignment="1" applyProtection="1">
      <alignment horizontal="left" vertical="top" wrapText="1"/>
      <protection locked="0"/>
    </xf>
    <xf numFmtId="0" fontId="30" fillId="12" borderId="29" xfId="0" applyNumberFormat="1" applyFont="1" applyFill="1" applyBorder="1" applyAlignment="1" applyProtection="1">
      <alignment horizontal="left" vertical="center"/>
      <protection locked="0"/>
    </xf>
    <xf numFmtId="0" fontId="30" fillId="15" borderId="29" xfId="0" applyNumberFormat="1" applyFont="1" applyFill="1" applyBorder="1" applyAlignment="1" applyProtection="1">
      <alignment horizontal="left" vertical="center"/>
      <protection locked="0"/>
    </xf>
    <xf numFmtId="14" fontId="6" fillId="16" borderId="29" xfId="0" applyNumberFormat="1" applyFont="1" applyFill="1" applyBorder="1" applyAlignment="1">
      <alignment horizontal="left" vertical="center" wrapText="1" indent="1"/>
    </xf>
    <xf numFmtId="49" fontId="6" fillId="16" borderId="0" xfId="0" applyFont="1" applyFill="1" applyAlignment="1">
      <alignment horizontal="center" vertical="center" wrapText="1"/>
    </xf>
    <xf numFmtId="0" fontId="0" fillId="10" borderId="5" xfId="0" applyNumberFormat="1" applyFill="1" applyBorder="1" applyAlignment="1">
      <alignment vertical="top" wrapText="1"/>
    </xf>
    <xf numFmtId="0" fontId="36" fillId="0" borderId="5" xfId="0" applyNumberFormat="1" applyFont="1" applyBorder="1" applyAlignment="1">
      <alignment vertical="top" wrapText="1"/>
    </xf>
    <xf numFmtId="49" fontId="6" fillId="16" borderId="29" xfId="0" applyFont="1" applyFill="1" applyBorder="1" applyAlignment="1">
      <alignment vertical="center" wrapText="1"/>
    </xf>
    <xf numFmtId="49" fontId="6" fillId="16" borderId="16" xfId="0" applyFont="1" applyFill="1" applyBorder="1" applyAlignment="1">
      <alignment vertical="center" wrapText="1"/>
    </xf>
    <xf numFmtId="49" fontId="6" fillId="0" borderId="0" xfId="0" applyFont="1" applyAlignment="1">
      <alignment horizontal="left" vertical="center" indent="1"/>
    </xf>
    <xf numFmtId="170" fontId="0" fillId="15" borderId="7" xfId="0" applyNumberFormat="1" applyFill="1" applyBorder="1" applyAlignment="1" applyProtection="1">
      <alignment horizontal="left" vertical="center" wrapText="1"/>
      <protection locked="0"/>
    </xf>
    <xf numFmtId="170" fontId="0" fillId="0" borderId="4" xfId="0" applyNumberFormat="1" applyBorder="1" applyAlignment="1">
      <alignment horizontal="left" vertical="center" wrapText="1" indent="1"/>
    </xf>
    <xf numFmtId="49" fontId="6" fillId="10" borderId="19" xfId="0" applyFont="1" applyFill="1" applyBorder="1" applyAlignment="1">
      <alignment horizontal="right" vertical="center" wrapText="1" indent="1"/>
    </xf>
    <xf numFmtId="0" fontId="6" fillId="16" borderId="29" xfId="0" applyNumberFormat="1" applyFont="1" applyFill="1" applyBorder="1" applyAlignment="1">
      <alignment horizontal="center" vertical="top" wrapText="1"/>
    </xf>
    <xf numFmtId="49" fontId="6" fillId="16" borderId="29" xfId="0" applyFont="1" applyFill="1" applyBorder="1" applyAlignment="1">
      <alignment horizontal="center" vertical="center" wrapText="1"/>
    </xf>
    <xf numFmtId="0" fontId="35" fillId="0" borderId="5" xfId="0" applyNumberFormat="1" applyFont="1" applyBorder="1" applyAlignment="1">
      <alignment horizontal="center" vertical="center"/>
    </xf>
    <xf numFmtId="49" fontId="6" fillId="0" borderId="29" xfId="0" applyFont="1" applyBorder="1" applyAlignment="1">
      <alignment horizontal="center" vertical="top" wrapText="1"/>
    </xf>
    <xf numFmtId="0" fontId="26" fillId="0" borderId="5" xfId="0" applyNumberFormat="1" applyFont="1" applyBorder="1" applyAlignment="1">
      <alignment horizontal="center" vertical="center" wrapText="1"/>
    </xf>
    <xf numFmtId="0" fontId="6" fillId="10" borderId="7" xfId="0" applyNumberFormat="1" applyFont="1" applyFill="1" applyBorder="1" applyAlignment="1">
      <alignment horizontal="center" vertical="center" wrapText="1"/>
    </xf>
    <xf numFmtId="0" fontId="35" fillId="0" borderId="6" xfId="0" applyNumberFormat="1" applyFont="1" applyBorder="1" applyAlignment="1">
      <alignment horizontal="center" vertical="center"/>
    </xf>
    <xf numFmtId="49" fontId="0" fillId="14" borderId="0" xfId="0" applyFill="1">
      <alignment vertical="top"/>
    </xf>
    <xf numFmtId="0" fontId="27" fillId="10" borderId="0" xfId="0" applyNumberFormat="1" applyFont="1" applyFill="1" applyAlignment="1">
      <alignment horizontal="center"/>
    </xf>
    <xf numFmtId="49" fontId="109" fillId="15" borderId="5" xfId="0" applyFont="1" applyFill="1" applyBorder="1" applyAlignment="1" applyProtection="1">
      <alignment horizontal="left" vertical="center" wrapText="1"/>
      <protection locked="0"/>
    </xf>
    <xf numFmtId="0" fontId="27" fillId="0" borderId="17" xfId="0" applyNumberFormat="1" applyFont="1" applyBorder="1" applyAlignment="1">
      <alignment horizontal="center" vertical="center" wrapText="1"/>
    </xf>
    <xf numFmtId="49" fontId="110" fillId="0" borderId="0" xfId="0" applyFont="1" applyAlignment="1">
      <alignment horizontal="center" vertical="top" wrapText="1"/>
    </xf>
    <xf numFmtId="49" fontId="0" fillId="11" borderId="29" xfId="0" applyFill="1" applyBorder="1">
      <alignment vertical="top"/>
    </xf>
    <xf numFmtId="49" fontId="0" fillId="0" borderId="29" xfId="0" applyBorder="1">
      <alignment vertical="top"/>
    </xf>
    <xf numFmtId="49" fontId="0" fillId="15" borderId="29" xfId="0" applyFill="1" applyBorder="1" applyProtection="1">
      <alignment vertical="top"/>
      <protection locked="0"/>
    </xf>
    <xf numFmtId="49" fontId="0" fillId="15" borderId="10" xfId="0" applyFill="1" applyBorder="1" applyProtection="1">
      <alignment vertical="top"/>
      <protection locked="0"/>
    </xf>
    <xf numFmtId="49" fontId="0" fillId="15" borderId="16" xfId="0" applyFill="1" applyBorder="1" applyProtection="1">
      <alignment vertical="top"/>
      <protection locked="0"/>
    </xf>
    <xf numFmtId="49" fontId="110" fillId="0" borderId="29" xfId="0" applyFont="1" applyBorder="1" applyAlignment="1">
      <alignment horizontal="center" vertical="top" wrapText="1"/>
    </xf>
    <xf numFmtId="49" fontId="0" fillId="0" borderId="12" xfId="0" applyBorder="1">
      <alignment vertical="top"/>
    </xf>
    <xf numFmtId="49" fontId="0" fillId="0" borderId="15" xfId="0" applyBorder="1">
      <alignment vertical="top"/>
    </xf>
    <xf numFmtId="49" fontId="0" fillId="0" borderId="0" xfId="0" applyAlignment="1">
      <alignment horizontal="left" vertical="top"/>
    </xf>
    <xf numFmtId="0" fontId="0" fillId="13" borderId="8" xfId="0" applyNumberFormat="1" applyFill="1" applyBorder="1" applyAlignment="1">
      <alignment vertical="center"/>
    </xf>
    <xf numFmtId="49" fontId="0" fillId="0" borderId="29" xfId="0" applyBorder="1" applyAlignment="1">
      <alignment horizontal="left" vertical="top"/>
    </xf>
    <xf numFmtId="49" fontId="0" fillId="16" borderId="29" xfId="0" applyFill="1" applyBorder="1" applyAlignment="1">
      <alignment horizontal="left" vertical="top"/>
    </xf>
    <xf numFmtId="49" fontId="0" fillId="12" borderId="29" xfId="0" applyFill="1" applyBorder="1" applyAlignment="1" applyProtection="1">
      <alignment horizontal="left" vertical="top"/>
      <protection locked="0"/>
    </xf>
    <xf numFmtId="49" fontId="0" fillId="16" borderId="29" xfId="0" applyFill="1" applyBorder="1" applyAlignment="1" applyProtection="1">
      <alignment horizontal="left" vertical="center" wrapText="1"/>
      <protection locked="0"/>
    </xf>
    <xf numFmtId="49" fontId="0" fillId="12" borderId="29" xfId="0" applyFill="1" applyBorder="1" applyProtection="1">
      <alignment vertical="top"/>
      <protection locked="0"/>
    </xf>
    <xf numFmtId="49" fontId="27" fillId="0" borderId="29" xfId="0" applyFont="1" applyBorder="1" applyAlignment="1">
      <alignment vertical="center" wrapText="1"/>
    </xf>
    <xf numFmtId="49" fontId="27" fillId="0" borderId="29" xfId="0" applyFont="1" applyBorder="1" applyAlignment="1">
      <alignment horizontal="center" vertical="center" wrapText="1"/>
    </xf>
    <xf numFmtId="0" fontId="6" fillId="10" borderId="16" xfId="0" applyNumberFormat="1" applyFont="1" applyFill="1" applyBorder="1" applyAlignment="1">
      <alignment horizontal="center" vertical="center" wrapText="1"/>
    </xf>
    <xf numFmtId="0" fontId="6" fillId="0" borderId="29" xfId="0" applyNumberFormat="1" applyFont="1" applyBorder="1" applyAlignment="1">
      <alignment horizontal="left" vertical="top" wrapText="1"/>
    </xf>
    <xf numFmtId="4" fontId="0" fillId="15" borderId="6" xfId="0" applyNumberFormat="1" applyFill="1" applyBorder="1" applyAlignment="1" applyProtection="1">
      <alignment horizontal="right" vertical="center" wrapText="1"/>
      <protection locked="0"/>
    </xf>
    <xf numFmtId="0" fontId="6" fillId="16" borderId="5" xfId="0" applyNumberFormat="1" applyFont="1" applyFill="1" applyBorder="1" applyAlignment="1">
      <alignment horizontal="left" vertical="center" wrapText="1"/>
    </xf>
    <xf numFmtId="49" fontId="0" fillId="10" borderId="10" xfId="0" applyFill="1" applyBorder="1" applyAlignment="1">
      <alignment horizontal="center" vertical="center" wrapText="1"/>
    </xf>
    <xf numFmtId="49" fontId="35" fillId="29" borderId="0" xfId="0" applyFont="1" applyFill="1" applyAlignment="1">
      <alignment vertical="center" wrapText="1"/>
    </xf>
    <xf numFmtId="0" fontId="36" fillId="0" borderId="0" xfId="0" applyNumberFormat="1" applyFont="1" applyAlignment="1">
      <alignment vertical="top" wrapText="1"/>
    </xf>
    <xf numFmtId="49" fontId="22" fillId="0" borderId="0" xfId="0" applyFont="1" applyAlignment="1">
      <alignment horizontal="center" vertical="top" wrapText="1"/>
    </xf>
    <xf numFmtId="49" fontId="6" fillId="10" borderId="0" xfId="0" applyFont="1" applyFill="1" applyAlignment="1">
      <alignment horizontal="center" vertical="top" wrapText="1"/>
    </xf>
    <xf numFmtId="0" fontId="0" fillId="0" borderId="29" xfId="0" applyNumberFormat="1" applyBorder="1" applyAlignment="1">
      <alignment horizontal="center" vertical="center" wrapText="1"/>
    </xf>
    <xf numFmtId="0" fontId="36" fillId="0" borderId="5" xfId="0" applyNumberFormat="1" applyFont="1" applyBorder="1" applyAlignment="1">
      <alignment horizontal="center" vertical="center" wrapText="1"/>
    </xf>
    <xf numFmtId="49" fontId="6" fillId="11" borderId="5" xfId="0" applyFont="1" applyFill="1" applyBorder="1" applyAlignment="1">
      <alignment horizontal="center" vertical="center" wrapText="1"/>
    </xf>
    <xf numFmtId="0" fontId="0" fillId="0" borderId="5" xfId="0" applyNumberFormat="1" applyBorder="1" applyAlignment="1">
      <alignment horizontal="left" vertical="top" wrapText="1"/>
    </xf>
    <xf numFmtId="14" fontId="6" fillId="16" borderId="5" xfId="0" applyNumberFormat="1" applyFont="1" applyFill="1" applyBorder="1" applyAlignment="1">
      <alignment horizontal="left" vertical="center" wrapText="1" indent="1"/>
    </xf>
    <xf numFmtId="49" fontId="14" fillId="0" borderId="5" xfId="0" applyFont="1" applyBorder="1" applyAlignment="1">
      <alignment horizontal="left" vertical="center" wrapText="1" indent="1"/>
    </xf>
    <xf numFmtId="0" fontId="6" fillId="0" borderId="16" xfId="0" applyNumberFormat="1" applyFont="1" applyBorder="1" applyAlignment="1">
      <alignment horizontal="left" vertical="center" wrapText="1" indent="1"/>
    </xf>
    <xf numFmtId="0" fontId="6" fillId="11" borderId="5" xfId="0" applyNumberFormat="1" applyFont="1" applyFill="1" applyBorder="1" applyAlignment="1">
      <alignment horizontal="left" vertical="center" wrapText="1" indent="1"/>
    </xf>
    <xf numFmtId="0" fontId="6" fillId="10" borderId="5" xfId="0" applyNumberFormat="1" applyFont="1" applyFill="1" applyBorder="1" applyAlignment="1">
      <alignment vertical="top" wrapText="1"/>
    </xf>
    <xf numFmtId="0" fontId="6" fillId="10" borderId="5" xfId="0" applyNumberFormat="1" applyFont="1" applyFill="1" applyBorder="1" applyAlignment="1">
      <alignment horizontal="left" vertical="top" wrapText="1"/>
    </xf>
    <xf numFmtId="49" fontId="16" fillId="12" borderId="16" xfId="0" applyFont="1" applyFill="1" applyBorder="1" applyAlignment="1" applyProtection="1">
      <alignment horizontal="left" vertical="center" wrapText="1"/>
      <protection locked="0"/>
    </xf>
    <xf numFmtId="49" fontId="0" fillId="13" borderId="22" xfId="0" applyFill="1" applyBorder="1" applyAlignment="1">
      <alignment horizontal="right" vertical="center" wrapText="1"/>
    </xf>
    <xf numFmtId="0" fontId="0" fillId="23" borderId="0" xfId="0" applyNumberFormat="1" applyFill="1" applyAlignment="1">
      <alignment horizontal="right" vertical="top" wrapText="1"/>
    </xf>
    <xf numFmtId="14" fontId="6" fillId="0" borderId="16" xfId="0" applyNumberFormat="1" applyFont="1" applyBorder="1" applyAlignment="1">
      <alignment horizontal="left" vertical="center" wrapText="1" indent="1"/>
    </xf>
    <xf numFmtId="0" fontId="6" fillId="11" borderId="5" xfId="0" applyNumberFormat="1" applyFont="1" applyFill="1" applyBorder="1" applyAlignment="1">
      <alignment horizontal="left" vertical="center" wrapText="1"/>
    </xf>
    <xf numFmtId="0" fontId="6" fillId="10" borderId="29" xfId="0" applyNumberFormat="1" applyFont="1" applyFill="1" applyBorder="1" applyAlignment="1">
      <alignment vertical="center" wrapText="1"/>
    </xf>
    <xf numFmtId="167" fontId="35" fillId="0" borderId="12" xfId="0" applyNumberFormat="1" applyFont="1" applyBorder="1" applyAlignment="1">
      <alignment horizontal="center" vertical="center" wrapText="1"/>
    </xf>
    <xf numFmtId="167" fontId="35" fillId="0" borderId="13" xfId="0" applyNumberFormat="1" applyFont="1" applyBorder="1" applyAlignment="1">
      <alignment horizontal="center" vertical="center" wrapText="1"/>
    </xf>
    <xf numFmtId="171" fontId="6" fillId="15" borderId="5" xfId="0" applyNumberFormat="1" applyFont="1" applyFill="1" applyBorder="1" applyAlignment="1" applyProtection="1">
      <alignment horizontal="left" vertical="center" wrapText="1" indent="1"/>
      <protection locked="0"/>
    </xf>
    <xf numFmtId="170" fontId="0" fillId="15" borderId="8" xfId="0" applyNumberFormat="1" applyFill="1" applyBorder="1" applyAlignment="1" applyProtection="1">
      <alignment horizontal="left" vertical="center" wrapText="1" indent="1"/>
      <protection locked="0"/>
    </xf>
    <xf numFmtId="49" fontId="6" fillId="15" borderId="20" xfId="0" applyFont="1" applyFill="1" applyBorder="1" applyAlignment="1" applyProtection="1">
      <alignment horizontal="left" vertical="center" wrapText="1"/>
      <protection locked="0"/>
    </xf>
    <xf numFmtId="49" fontId="6" fillId="15" borderId="23" xfId="0" applyFont="1" applyFill="1" applyBorder="1" applyAlignment="1" applyProtection="1">
      <alignment horizontal="left" vertical="center" wrapText="1"/>
      <protection locked="0"/>
    </xf>
    <xf numFmtId="49" fontId="16" fillId="13" borderId="22" xfId="0" applyFont="1" applyFill="1" applyBorder="1" applyAlignment="1">
      <alignment horizontal="left" vertical="center" wrapText="1"/>
    </xf>
    <xf numFmtId="0" fontId="6" fillId="15" borderId="5" xfId="0" applyNumberFormat="1" applyFont="1" applyFill="1" applyBorder="1" applyAlignment="1" applyProtection="1">
      <alignment horizontal="left" vertical="top" wrapText="1" indent="1"/>
      <protection locked="0"/>
    </xf>
    <xf numFmtId="0" fontId="6" fillId="10" borderId="15" xfId="0" applyNumberFormat="1" applyFont="1" applyFill="1" applyBorder="1" applyAlignment="1">
      <alignment vertical="center" wrapText="1"/>
    </xf>
    <xf numFmtId="0" fontId="26" fillId="0" borderId="0" xfId="26" applyNumberFormat="1" applyFont="1" applyAlignment="1">
      <alignment horizontal="center" vertical="center" wrapText="1"/>
    </xf>
    <xf numFmtId="0" fontId="26" fillId="0" borderId="5" xfId="26" applyNumberFormat="1" applyFont="1" applyBorder="1" applyAlignment="1">
      <alignment horizontal="center" vertical="center" wrapText="1"/>
    </xf>
    <xf numFmtId="0" fontId="6" fillId="11" borderId="8" xfId="0" applyNumberFormat="1" applyFont="1" applyFill="1" applyBorder="1" applyAlignment="1">
      <alignment horizontal="left" vertical="center" wrapText="1"/>
    </xf>
    <xf numFmtId="0" fontId="27" fillId="0" borderId="20" xfId="0" applyNumberFormat="1" applyFont="1" applyBorder="1" applyAlignment="1">
      <alignment horizontal="center" vertical="center" wrapText="1"/>
    </xf>
    <xf numFmtId="0" fontId="37" fillId="0" borderId="8" xfId="0" applyNumberFormat="1" applyFont="1" applyBorder="1" applyAlignment="1">
      <alignment horizontal="left" vertical="center" wrapText="1"/>
    </xf>
    <xf numFmtId="49" fontId="6" fillId="15" borderId="10" xfId="0" applyFont="1" applyFill="1" applyBorder="1" applyAlignment="1" applyProtection="1">
      <alignment horizontal="left" vertical="center" wrapText="1" indent="6"/>
      <protection locked="0"/>
    </xf>
    <xf numFmtId="0" fontId="6" fillId="10" borderId="10" xfId="0" applyNumberFormat="1" applyFont="1" applyFill="1" applyBorder="1" applyAlignment="1">
      <alignment horizontal="left" vertical="center" wrapText="1"/>
    </xf>
    <xf numFmtId="4" fontId="6" fillId="15" borderId="5" xfId="0" applyNumberFormat="1" applyFont="1" applyFill="1" applyBorder="1" applyAlignment="1" applyProtection="1">
      <alignment horizontal="left" vertical="center" wrapText="1" indent="1"/>
      <protection locked="0"/>
    </xf>
    <xf numFmtId="49" fontId="6" fillId="12" borderId="10" xfId="0" applyFont="1" applyFill="1" applyBorder="1" applyAlignment="1" applyProtection="1">
      <alignment horizontal="left" vertical="center" wrapText="1" indent="6"/>
      <protection locked="0"/>
    </xf>
    <xf numFmtId="0" fontId="6" fillId="10" borderId="22" xfId="0" applyNumberFormat="1" applyFont="1" applyFill="1" applyBorder="1" applyAlignment="1">
      <alignment horizontal="center" vertical="center" wrapText="1"/>
    </xf>
    <xf numFmtId="0" fontId="6" fillId="0" borderId="0" xfId="0" applyNumberFormat="1" applyFont="1" applyAlignment="1">
      <alignment horizontal="left" vertical="center"/>
    </xf>
    <xf numFmtId="49" fontId="6" fillId="0" borderId="0" xfId="0" applyFont="1" applyAlignment="1">
      <alignment horizontal="left" vertical="center"/>
    </xf>
    <xf numFmtId="49" fontId="6" fillId="10" borderId="0" xfId="0" applyFont="1" applyFill="1" applyAlignment="1">
      <alignment vertical="center" wrapText="1"/>
    </xf>
    <xf numFmtId="49" fontId="6" fillId="12" borderId="5" xfId="0" applyFont="1" applyFill="1" applyBorder="1" applyAlignment="1" applyProtection="1">
      <alignment horizontal="left" vertical="center" indent="1"/>
      <protection locked="0"/>
    </xf>
    <xf numFmtId="14" fontId="6" fillId="15" borderId="7" xfId="0" applyNumberFormat="1" applyFont="1" applyFill="1" applyBorder="1" applyAlignment="1" applyProtection="1">
      <alignment horizontal="left" vertical="center" wrapText="1" indent="1"/>
      <protection locked="0"/>
    </xf>
    <xf numFmtId="0" fontId="36" fillId="0" borderId="29" xfId="0" applyNumberFormat="1" applyFont="1" applyBorder="1" applyAlignment="1">
      <alignment horizontal="left" vertical="center" wrapText="1" indent="1"/>
    </xf>
    <xf numFmtId="49" fontId="92" fillId="13" borderId="35" xfId="0" applyFont="1" applyFill="1" applyBorder="1" applyAlignment="1">
      <alignment horizontal="left" vertical="center" indent="1"/>
    </xf>
    <xf numFmtId="14" fontId="6" fillId="16" borderId="15" xfId="0" applyNumberFormat="1" applyFont="1" applyFill="1" applyBorder="1" applyAlignment="1">
      <alignment horizontal="left" vertical="center" wrapText="1" indent="1"/>
    </xf>
    <xf numFmtId="0" fontId="37" fillId="0" borderId="17" xfId="0" applyNumberFormat="1" applyFont="1" applyBorder="1" applyAlignment="1">
      <alignment horizontal="center" vertical="top" wrapText="1"/>
    </xf>
    <xf numFmtId="49" fontId="22" fillId="22" borderId="0" xfId="0" applyFont="1" applyFill="1" applyAlignment="1">
      <alignment horizontal="center" vertical="center" wrapText="1"/>
    </xf>
    <xf numFmtId="0" fontId="6" fillId="10" borderId="16" xfId="0" applyNumberFormat="1" applyFont="1" applyFill="1" applyBorder="1" applyAlignment="1">
      <alignment horizontal="left" vertical="center" wrapText="1"/>
    </xf>
    <xf numFmtId="0" fontId="35" fillId="0" borderId="6" xfId="0" applyNumberFormat="1" applyFont="1" applyBorder="1" applyAlignment="1">
      <alignment vertical="top" wrapText="1"/>
    </xf>
    <xf numFmtId="0" fontId="37" fillId="0" borderId="6" xfId="0" applyNumberFormat="1" applyFont="1" applyBorder="1" applyAlignment="1">
      <alignment vertical="top" wrapText="1"/>
    </xf>
    <xf numFmtId="0" fontId="6" fillId="10" borderId="10" xfId="0" applyNumberFormat="1" applyFont="1" applyFill="1" applyBorder="1" applyAlignment="1">
      <alignment horizontal="left" vertical="center" wrapText="1" indent="2"/>
    </xf>
    <xf numFmtId="0" fontId="6" fillId="0" borderId="10" xfId="0" applyNumberFormat="1" applyFont="1" applyBorder="1" applyAlignment="1">
      <alignment horizontal="left" vertical="center" wrapText="1" indent="6"/>
    </xf>
    <xf numFmtId="0" fontId="6" fillId="16" borderId="16" xfId="0" applyNumberFormat="1" applyFont="1" applyFill="1" applyBorder="1" applyAlignment="1">
      <alignment horizontal="left" vertical="center" wrapText="1" indent="6"/>
    </xf>
    <xf numFmtId="0" fontId="6" fillId="0" borderId="16" xfId="0" applyNumberFormat="1" applyFont="1" applyBorder="1" applyAlignment="1">
      <alignment horizontal="left" vertical="center" wrapText="1" indent="6"/>
    </xf>
    <xf numFmtId="4" fontId="6" fillId="12" borderId="16" xfId="0" applyNumberFormat="1" applyFont="1" applyFill="1" applyBorder="1" applyAlignment="1" applyProtection="1">
      <alignment horizontal="right" vertical="center" wrapText="1"/>
      <protection locked="0"/>
    </xf>
    <xf numFmtId="168" fontId="6" fillId="12" borderId="16" xfId="0" applyNumberFormat="1" applyFont="1" applyFill="1" applyBorder="1" applyAlignment="1" applyProtection="1">
      <alignment horizontal="right" vertical="center" wrapText="1"/>
      <protection locked="0"/>
    </xf>
    <xf numFmtId="0" fontId="6" fillId="0" borderId="21" xfId="0" applyNumberFormat="1" applyFont="1" applyBorder="1" applyAlignment="1">
      <alignment horizontal="center" vertical="top" wrapText="1"/>
    </xf>
    <xf numFmtId="0" fontId="6" fillId="0" borderId="5" xfId="0" applyNumberFormat="1" applyFont="1" applyBorder="1" applyAlignment="1">
      <alignment horizontal="center" vertical="top" wrapText="1"/>
    </xf>
    <xf numFmtId="49" fontId="59" fillId="0" borderId="21" xfId="0" applyFont="1" applyBorder="1" applyAlignment="1">
      <alignment horizontal="center" vertical="top" wrapText="1"/>
    </xf>
    <xf numFmtId="0" fontId="59" fillId="0" borderId="5" xfId="0" applyNumberFormat="1" applyFont="1" applyBorder="1" applyAlignment="1">
      <alignment horizontal="center" vertical="top" wrapText="1"/>
    </xf>
    <xf numFmtId="0" fontId="59" fillId="0" borderId="21" xfId="0" applyNumberFormat="1" applyFont="1" applyBorder="1" applyAlignment="1">
      <alignment horizontal="center" vertical="top" wrapText="1"/>
    </xf>
    <xf numFmtId="49" fontId="6" fillId="13" borderId="7" xfId="0" applyFont="1" applyFill="1" applyBorder="1" applyAlignment="1">
      <alignment vertical="top" wrapText="1"/>
    </xf>
    <xf numFmtId="0" fontId="6" fillId="13" borderId="8" xfId="0" applyNumberFormat="1" applyFont="1" applyFill="1" applyBorder="1" applyAlignment="1">
      <alignment vertical="top" wrapText="1"/>
    </xf>
    <xf numFmtId="0" fontId="6" fillId="0" borderId="10" xfId="0" applyNumberFormat="1" applyFont="1" applyBorder="1" applyAlignment="1">
      <alignment horizontal="center" vertical="top" wrapText="1"/>
    </xf>
    <xf numFmtId="0" fontId="37" fillId="0" borderId="5" xfId="0" applyNumberFormat="1" applyFont="1" applyBorder="1" applyAlignment="1">
      <alignment horizontal="center" vertical="top" wrapText="1"/>
    </xf>
    <xf numFmtId="0" fontId="6" fillId="15" borderId="5" xfId="0" applyNumberFormat="1" applyFont="1" applyFill="1" applyBorder="1" applyAlignment="1" applyProtection="1">
      <alignment horizontal="center" vertical="top" wrapText="1"/>
      <protection locked="0"/>
    </xf>
    <xf numFmtId="0" fontId="37" fillId="0" borderId="29" xfId="0" applyNumberFormat="1" applyFont="1" applyBorder="1" applyAlignment="1">
      <alignment horizontal="center" vertical="top" wrapText="1"/>
    </xf>
    <xf numFmtId="49" fontId="6" fillId="13" borderId="30" xfId="0" applyFont="1" applyFill="1" applyBorder="1" applyAlignment="1">
      <alignment vertical="top" wrapText="1"/>
    </xf>
    <xf numFmtId="0" fontId="6" fillId="0" borderId="6" xfId="0" applyNumberFormat="1" applyFont="1" applyBorder="1" applyAlignment="1">
      <alignment horizontal="center" vertical="top" wrapText="1"/>
    </xf>
    <xf numFmtId="0" fontId="6" fillId="0" borderId="5" xfId="0" applyNumberFormat="1" applyFont="1" applyBorder="1" applyAlignment="1">
      <alignment horizontal="left" vertical="top" wrapText="1" indent="1"/>
    </xf>
    <xf numFmtId="0" fontId="59" fillId="0" borderId="5" xfId="0" applyNumberFormat="1" applyFont="1" applyBorder="1" applyAlignment="1">
      <alignment horizontal="left" vertical="top" wrapText="1" indent="2"/>
    </xf>
    <xf numFmtId="0" fontId="59" fillId="0" borderId="5" xfId="0" applyNumberFormat="1" applyFont="1" applyBorder="1" applyAlignment="1">
      <alignment horizontal="left" vertical="top" wrapText="1" indent="3"/>
    </xf>
    <xf numFmtId="49" fontId="30" fillId="13" borderId="8" xfId="0" applyFont="1" applyFill="1" applyBorder="1" applyAlignment="1">
      <alignment horizontal="left" vertical="top" indent="2"/>
    </xf>
    <xf numFmtId="0" fontId="6" fillId="0" borderId="5" xfId="0" applyNumberFormat="1" applyFont="1" applyBorder="1" applyAlignment="1">
      <alignment horizontal="left" vertical="top" wrapText="1" indent="2"/>
    </xf>
    <xf numFmtId="0" fontId="37" fillId="0" borderId="16" xfId="0" applyNumberFormat="1" applyFont="1" applyBorder="1" applyAlignment="1">
      <alignment horizontal="left" vertical="top" wrapText="1" indent="1"/>
    </xf>
    <xf numFmtId="0" fontId="37" fillId="0" borderId="10" xfId="0" applyNumberFormat="1" applyFont="1" applyBorder="1" applyAlignment="1">
      <alignment horizontal="left" vertical="top" wrapText="1" indent="1"/>
    </xf>
    <xf numFmtId="0" fontId="59" fillId="0" borderId="5" xfId="0" applyNumberFormat="1" applyFont="1" applyBorder="1" applyAlignment="1">
      <alignment vertical="top" wrapText="1"/>
    </xf>
    <xf numFmtId="0" fontId="59" fillId="0" borderId="0" xfId="0" applyNumberFormat="1" applyFont="1" applyAlignment="1">
      <alignment vertical="top" wrapText="1"/>
    </xf>
    <xf numFmtId="0" fontId="6" fillId="0" borderId="20" xfId="0" applyNumberFormat="1" applyFont="1" applyBorder="1" applyAlignment="1">
      <alignment horizontal="left" vertical="center" wrapText="1" indent="1"/>
    </xf>
    <xf numFmtId="0" fontId="6" fillId="0" borderId="12" xfId="0" applyNumberFormat="1" applyFont="1" applyBorder="1" applyAlignment="1">
      <alignment horizontal="left" vertical="top" wrapText="1" indent="1"/>
    </xf>
    <xf numFmtId="0" fontId="6" fillId="0" borderId="36" xfId="0" applyNumberFormat="1" applyFont="1" applyBorder="1" applyAlignment="1">
      <alignment horizontal="center" vertical="center"/>
    </xf>
    <xf numFmtId="49" fontId="113" fillId="0" borderId="5" xfId="26" applyBorder="1">
      <alignment vertical="top"/>
    </xf>
    <xf numFmtId="49" fontId="113" fillId="0" borderId="7" xfId="26" applyBorder="1">
      <alignment vertical="top"/>
    </xf>
    <xf numFmtId="49" fontId="113" fillId="18" borderId="10" xfId="26" applyFill="1" applyBorder="1">
      <alignment vertical="top"/>
    </xf>
    <xf numFmtId="49" fontId="113" fillId="19" borderId="5" xfId="26" applyFill="1" applyBorder="1">
      <alignment vertical="top"/>
    </xf>
    <xf numFmtId="49" fontId="113" fillId="0" borderId="8" xfId="26" applyBorder="1" applyAlignment="1">
      <alignment horizontal="center" vertical="top"/>
    </xf>
    <xf numFmtId="49" fontId="113" fillId="2" borderId="5" xfId="26" applyFill="1" applyBorder="1">
      <alignment vertical="top"/>
    </xf>
    <xf numFmtId="49" fontId="113" fillId="20" borderId="5" xfId="26" applyFill="1" applyBorder="1">
      <alignment vertical="top"/>
    </xf>
    <xf numFmtId="49" fontId="113" fillId="4" borderId="10" xfId="26" applyFill="1" applyBorder="1">
      <alignment vertical="top"/>
    </xf>
    <xf numFmtId="49" fontId="113" fillId="3" borderId="7" xfId="26" applyFill="1" applyBorder="1">
      <alignment vertical="top"/>
    </xf>
    <xf numFmtId="49" fontId="113" fillId="3" borderId="5" xfId="26" applyFill="1" applyBorder="1">
      <alignment vertical="top"/>
    </xf>
    <xf numFmtId="49" fontId="113" fillId="4" borderId="5" xfId="26" applyFill="1" applyBorder="1">
      <alignment vertical="top"/>
    </xf>
    <xf numFmtId="49" fontId="1" fillId="0" borderId="0" xfId="0" applyFont="1" applyAlignment="1"/>
    <xf numFmtId="49" fontId="112" fillId="15" borderId="5" xfId="0" applyFont="1" applyFill="1" applyBorder="1" applyAlignment="1" applyProtection="1">
      <alignment horizontal="left" vertical="center" wrapText="1" indent="1"/>
      <protection locked="0"/>
    </xf>
    <xf numFmtId="49" fontId="6" fillId="10" borderId="10" xfId="0" applyFont="1" applyFill="1" applyBorder="1" applyAlignment="1">
      <alignment horizontal="left" vertical="center" wrapText="1" indent="1"/>
    </xf>
    <xf numFmtId="0" fontId="89" fillId="0" borderId="0" xfId="0" applyNumberFormat="1" applyFont="1" applyAlignment="1">
      <alignment vertical="center" wrapText="1"/>
    </xf>
    <xf numFmtId="0" fontId="89" fillId="0" borderId="0" xfId="0" applyNumberFormat="1" applyFont="1" applyAlignment="1">
      <alignment vertical="center"/>
    </xf>
    <xf numFmtId="0" fontId="5" fillId="30" borderId="58" xfId="0" applyNumberFormat="1" applyFont="1" applyFill="1" applyBorder="1" applyAlignment="1">
      <alignment horizontal="center" vertical="center" wrapText="1"/>
    </xf>
    <xf numFmtId="0" fontId="5" fillId="30" borderId="59" xfId="0" applyNumberFormat="1" applyFont="1" applyFill="1" applyBorder="1" applyAlignment="1">
      <alignment horizontal="center" vertical="center" wrapText="1"/>
    </xf>
    <xf numFmtId="0" fontId="5" fillId="30" borderId="60" xfId="0" applyNumberFormat="1" applyFont="1" applyFill="1" applyBorder="1" applyAlignment="1">
      <alignment horizontal="center" vertical="center" wrapText="1"/>
    </xf>
    <xf numFmtId="0" fontId="5" fillId="21" borderId="31" xfId="0" applyNumberFormat="1" applyFont="1" applyFill="1" applyBorder="1" applyAlignment="1">
      <alignment horizontal="right" vertical="center" wrapText="1" indent="1"/>
    </xf>
    <xf numFmtId="0" fontId="5" fillId="21" borderId="57" xfId="0" applyNumberFormat="1" applyFont="1" applyFill="1" applyBorder="1" applyAlignment="1">
      <alignment horizontal="right" vertical="center" wrapText="1" indent="1"/>
    </xf>
    <xf numFmtId="0" fontId="5" fillId="21" borderId="0" xfId="0" applyNumberFormat="1" applyFont="1" applyFill="1" applyAlignment="1">
      <alignment horizontal="right" vertical="center" wrapText="1" indent="1"/>
    </xf>
    <xf numFmtId="0" fontId="107" fillId="0" borderId="31" xfId="0" applyNumberFormat="1" applyFont="1" applyBorder="1" applyAlignment="1">
      <alignment vertical="center" wrapText="1"/>
    </xf>
    <xf numFmtId="0" fontId="107" fillId="0" borderId="0" xfId="0" applyNumberFormat="1" applyFont="1" applyAlignment="1">
      <alignment vertical="center" wrapText="1"/>
    </xf>
    <xf numFmtId="0" fontId="107" fillId="0" borderId="31" xfId="0" applyNumberFormat="1" applyFont="1" applyBorder="1" applyAlignment="1">
      <alignment horizontal="left" vertical="center" wrapText="1"/>
    </xf>
    <xf numFmtId="0" fontId="107" fillId="0" borderId="0" xfId="0" applyNumberFormat="1" applyFont="1" applyAlignment="1">
      <alignment horizontal="left" vertical="center" wrapText="1"/>
    </xf>
    <xf numFmtId="0" fontId="5" fillId="21" borderId="53" xfId="0" applyNumberFormat="1" applyFont="1" applyFill="1" applyBorder="1" applyAlignment="1">
      <alignment horizontal="right" vertical="center" wrapText="1" indent="1"/>
    </xf>
    <xf numFmtId="0" fontId="5" fillId="21" borderId="56" xfId="0" applyNumberFormat="1" applyFont="1" applyFill="1" applyBorder="1" applyAlignment="1">
      <alignment horizontal="right" vertical="center" wrapText="1" indent="1"/>
    </xf>
    <xf numFmtId="0" fontId="5" fillId="21" borderId="55" xfId="0" applyNumberFormat="1" applyFont="1" applyFill="1" applyBorder="1" applyAlignment="1">
      <alignment horizontal="right" vertical="center" wrapText="1" indent="1"/>
    </xf>
    <xf numFmtId="0" fontId="5" fillId="21" borderId="32" xfId="0" applyNumberFormat="1" applyFont="1" applyFill="1" applyBorder="1" applyAlignment="1">
      <alignment horizontal="right" vertical="center" wrapText="1" indent="1"/>
    </xf>
    <xf numFmtId="0" fontId="107" fillId="0" borderId="0" xfId="0" applyNumberFormat="1" applyFont="1" applyAlignment="1">
      <alignment vertical="top" wrapText="1"/>
    </xf>
    <xf numFmtId="49" fontId="53" fillId="0" borderId="0" xfId="0" applyFont="1" applyAlignment="1">
      <alignment vertical="top" wrapText="1"/>
    </xf>
    <xf numFmtId="0" fontId="6" fillId="0" borderId="6"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83" fillId="0" borderId="0" xfId="0" applyNumberFormat="1" applyFont="1" applyAlignment="1">
      <alignment horizontal="left" vertical="center" wrapText="1"/>
    </xf>
    <xf numFmtId="14" fontId="80"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8" xfId="0" applyNumberFormat="1" applyFont="1" applyBorder="1" applyAlignment="1">
      <alignment horizontal="left" vertical="center" wrapText="1" indent="1"/>
    </xf>
    <xf numFmtId="0" fontId="6" fillId="0" borderId="8" xfId="0" applyNumberFormat="1" applyFont="1" applyBorder="1" applyAlignment="1">
      <alignment horizontal="center" vertical="center" wrapText="1"/>
    </xf>
    <xf numFmtId="4" fontId="6" fillId="0" borderId="5" xfId="0" applyNumberFormat="1" applyFont="1" applyBorder="1" applyAlignment="1">
      <alignment horizontal="center" vertical="center" wrapText="1"/>
    </xf>
    <xf numFmtId="0" fontId="6" fillId="16" borderId="10" xfId="0" applyNumberFormat="1" applyFont="1" applyFill="1" applyBorder="1" applyAlignment="1" applyProtection="1">
      <alignment horizontal="left" vertical="center" wrapText="1" indent="1"/>
      <protection locked="0"/>
    </xf>
    <xf numFmtId="49" fontId="0" fillId="0" borderId="5" xfId="0" applyBorder="1">
      <alignment vertical="top"/>
    </xf>
    <xf numFmtId="0" fontId="6" fillId="16" borderId="16" xfId="0" applyNumberFormat="1" applyFont="1" applyFill="1" applyBorder="1" applyAlignment="1" applyProtection="1">
      <alignment horizontal="left" vertical="center" wrapText="1" indent="1"/>
      <protection locked="0"/>
    </xf>
    <xf numFmtId="49" fontId="6" fillId="16" borderId="5" xfId="0" applyFont="1" applyFill="1" applyBorder="1" applyAlignment="1">
      <alignment horizontal="center" vertical="center" wrapText="1"/>
    </xf>
    <xf numFmtId="49" fontId="6" fillId="0" borderId="5" xfId="0" applyFont="1" applyBorder="1" applyAlignment="1">
      <alignment horizontal="center" vertical="center" wrapText="1"/>
    </xf>
    <xf numFmtId="0" fontId="6" fillId="16" borderId="10" xfId="0" applyNumberFormat="1" applyFont="1" applyFill="1" applyBorder="1" applyAlignment="1">
      <alignment horizontal="left" vertical="center" wrapText="1" indent="2"/>
    </xf>
    <xf numFmtId="0" fontId="6" fillId="16" borderId="29" xfId="0" applyNumberFormat="1" applyFont="1" applyFill="1" applyBorder="1" applyAlignment="1">
      <alignment horizontal="left" vertical="center" wrapText="1" indent="2"/>
    </xf>
    <xf numFmtId="0" fontId="6" fillId="16" borderId="16" xfId="0" applyNumberFormat="1" applyFont="1" applyFill="1" applyBorder="1" applyAlignment="1">
      <alignment horizontal="left" vertical="center" wrapText="1" indent="2"/>
    </xf>
    <xf numFmtId="49" fontId="6" fillId="16" borderId="16" xfId="0" applyFont="1" applyFill="1" applyBorder="1" applyAlignment="1">
      <alignment horizontal="center" vertical="center" wrapText="1"/>
    </xf>
    <xf numFmtId="14" fontId="68" fillId="0" borderId="65" xfId="0" applyNumberFormat="1" applyFont="1" applyBorder="1" applyAlignment="1">
      <alignment horizontal="center" vertical="center" wrapText="1"/>
    </xf>
    <xf numFmtId="0" fontId="6" fillId="0" borderId="65" xfId="0" applyNumberFormat="1" applyFont="1" applyBorder="1" applyAlignment="1">
      <alignment horizontal="center" vertical="center" wrapText="1"/>
    </xf>
    <xf numFmtId="49" fontId="26" fillId="0" borderId="61" xfId="0" applyFont="1" applyBorder="1" applyAlignment="1">
      <alignment horizontal="center" vertical="center" wrapText="1"/>
    </xf>
    <xf numFmtId="49" fontId="26" fillId="0" borderId="62" xfId="0" applyFont="1" applyBorder="1" applyAlignment="1">
      <alignment horizontal="center" vertical="center" wrapText="1"/>
    </xf>
    <xf numFmtId="49" fontId="26" fillId="0" borderId="7" xfId="0" applyFont="1" applyBorder="1" applyAlignment="1">
      <alignment horizontal="center" vertical="center" wrapText="1"/>
    </xf>
    <xf numFmtId="49" fontId="26" fillId="0" borderId="6" xfId="0" applyFont="1" applyBorder="1" applyAlignment="1">
      <alignment horizontal="center" vertical="center" wrapText="1"/>
    </xf>
    <xf numFmtId="0" fontId="6" fillId="0" borderId="13" xfId="0" applyNumberFormat="1" applyFont="1" applyBorder="1" applyAlignment="1">
      <alignment horizontal="left" vertical="center" wrapText="1" indent="1"/>
    </xf>
    <xf numFmtId="0" fontId="6" fillId="0" borderId="10" xfId="0" applyNumberFormat="1" applyFont="1" applyBorder="1" applyAlignment="1">
      <alignment horizontal="left" vertical="center" wrapText="1" indent="1"/>
    </xf>
    <xf numFmtId="0" fontId="6" fillId="0" borderId="30" xfId="0" applyNumberFormat="1" applyFont="1" applyBorder="1" applyAlignment="1">
      <alignment horizontal="left" vertical="center" wrapText="1" indent="1"/>
    </xf>
    <xf numFmtId="0" fontId="6" fillId="0" borderId="22" xfId="0" applyNumberFormat="1" applyFont="1" applyBorder="1" applyAlignment="1">
      <alignment horizontal="left" vertical="center" indent="1"/>
    </xf>
    <xf numFmtId="0" fontId="6" fillId="0" borderId="16" xfId="0" applyNumberFormat="1" applyFont="1" applyBorder="1" applyAlignment="1">
      <alignment horizontal="left" vertical="center" indent="1"/>
    </xf>
    <xf numFmtId="0" fontId="6" fillId="0" borderId="23" xfId="0" applyNumberFormat="1" applyFont="1" applyBorder="1" applyAlignment="1">
      <alignment horizontal="left" vertical="center" indent="1"/>
    </xf>
    <xf numFmtId="0" fontId="6" fillId="17"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62" fillId="0" borderId="30" xfId="0" applyNumberFormat="1" applyFont="1" applyBorder="1" applyAlignment="1">
      <alignment horizontal="center" vertical="center" wrapText="1"/>
    </xf>
    <xf numFmtId="0" fontId="62" fillId="0" borderId="12"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62" fillId="0" borderId="5" xfId="0" applyNumberFormat="1" applyFont="1" applyBorder="1" applyAlignment="1">
      <alignment horizontal="center" vertical="center" wrapText="1"/>
    </xf>
    <xf numFmtId="0" fontId="6" fillId="0" borderId="63" xfId="0" applyNumberFormat="1" applyFont="1" applyBorder="1" applyAlignment="1">
      <alignment horizontal="center" vertical="center" wrapText="1"/>
    </xf>
    <xf numFmtId="0" fontId="6" fillId="0" borderId="64" xfId="0" applyNumberFormat="1" applyFont="1" applyBorder="1" applyAlignment="1">
      <alignment horizontal="center" vertical="center" wrapText="1"/>
    </xf>
    <xf numFmtId="0" fontId="0" fillId="0" borderId="5" xfId="0" applyNumberFormat="1" applyBorder="1" applyAlignment="1">
      <alignment horizontal="center" vertical="top"/>
    </xf>
    <xf numFmtId="49" fontId="6" fillId="0" borderId="12" xfId="0" applyFont="1" applyBorder="1" applyAlignment="1">
      <alignment horizontal="center" vertical="center" wrapText="1"/>
    </xf>
    <xf numFmtId="49" fontId="6" fillId="0" borderId="0" xfId="0" applyFont="1" applyAlignment="1">
      <alignment horizontal="center" vertical="center" wrapText="1"/>
    </xf>
    <xf numFmtId="0" fontId="0" fillId="0" borderId="12"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Alignment="1">
      <alignment horizontal="left" vertical="center" wrapText="1"/>
    </xf>
    <xf numFmtId="49" fontId="0" fillId="0" borderId="12" xfId="0" applyBorder="1" applyAlignment="1">
      <alignment horizontal="left" vertical="center" wrapText="1"/>
    </xf>
    <xf numFmtId="0" fontId="6" fillId="0" borderId="5" xfId="0" applyNumberFormat="1" applyFont="1" applyBorder="1" applyAlignment="1">
      <alignment horizontal="left" vertical="top" wrapText="1"/>
    </xf>
    <xf numFmtId="49" fontId="0" fillId="0" borderId="5" xfId="0" applyBorder="1" applyAlignment="1">
      <alignment horizontal="left" vertical="top"/>
    </xf>
    <xf numFmtId="0" fontId="6" fillId="16" borderId="10" xfId="0" applyNumberFormat="1" applyFont="1" applyFill="1" applyBorder="1" applyAlignment="1">
      <alignment horizontal="center" vertical="top" wrapText="1"/>
    </xf>
    <xf numFmtId="0" fontId="6" fillId="16" borderId="29" xfId="0" applyNumberFormat="1" applyFont="1" applyFill="1" applyBorder="1" applyAlignment="1">
      <alignment horizontal="center" vertical="top" wrapText="1"/>
    </xf>
    <xf numFmtId="0" fontId="6" fillId="16" borderId="16" xfId="0" applyNumberFormat="1" applyFont="1" applyFill="1" applyBorder="1" applyAlignment="1">
      <alignment horizontal="center" vertical="top" wrapText="1"/>
    </xf>
    <xf numFmtId="0" fontId="0" fillId="0" borderId="30" xfId="0" applyNumberFormat="1" applyBorder="1" applyAlignment="1">
      <alignment horizontal="center" vertical="center"/>
    </xf>
    <xf numFmtId="0" fontId="0" fillId="0" borderId="15" xfId="0" applyNumberFormat="1" applyBorder="1" applyAlignment="1">
      <alignment horizontal="center" vertical="center"/>
    </xf>
    <xf numFmtId="0" fontId="0" fillId="0" borderId="12" xfId="0" applyNumberFormat="1" applyBorder="1" applyAlignment="1">
      <alignment horizontal="center" vertical="center"/>
    </xf>
    <xf numFmtId="0" fontId="0" fillId="0" borderId="0" xfId="0" applyNumberFormat="1" applyAlignment="1">
      <alignment horizontal="center" vertical="center"/>
    </xf>
    <xf numFmtId="49" fontId="6" fillId="0" borderId="12" xfId="0" applyFont="1" applyBorder="1" applyAlignment="1">
      <alignment horizontal="left" vertical="center" wrapText="1"/>
    </xf>
    <xf numFmtId="49" fontId="6" fillId="0" borderId="0" xfId="0" applyFont="1" applyAlignment="1">
      <alignment horizontal="left" vertical="center" wrapText="1"/>
    </xf>
    <xf numFmtId="49" fontId="0" fillId="0" borderId="0" xfId="0" applyAlignment="1">
      <alignment horizontal="left" vertical="top"/>
    </xf>
    <xf numFmtId="0" fontId="0" fillId="0" borderId="5" xfId="0" applyNumberFormat="1" applyBorder="1" applyAlignment="1">
      <alignment horizontal="center" vertical="center" wrapText="1"/>
    </xf>
    <xf numFmtId="49" fontId="37" fillId="10" borderId="20" xfId="0" applyFont="1" applyFill="1" applyBorder="1" applyAlignment="1">
      <alignment horizontal="center" vertical="center" wrapText="1"/>
    </xf>
    <xf numFmtId="0" fontId="6" fillId="0" borderId="13" xfId="0" applyNumberFormat="1" applyFont="1" applyBorder="1" applyAlignment="1">
      <alignment horizontal="left" vertical="top" wrapText="1" indent="1"/>
    </xf>
    <xf numFmtId="0" fontId="6" fillId="0" borderId="10" xfId="0" applyNumberFormat="1" applyFont="1" applyBorder="1" applyAlignment="1">
      <alignment horizontal="left" vertical="top" wrapText="1" indent="1"/>
    </xf>
    <xf numFmtId="0" fontId="6" fillId="0" borderId="30" xfId="0" applyNumberFormat="1" applyFont="1" applyBorder="1" applyAlignment="1">
      <alignment horizontal="left" vertical="top" wrapText="1" indent="1"/>
    </xf>
    <xf numFmtId="0" fontId="59" fillId="0" borderId="17" xfId="0" applyNumberFormat="1" applyFont="1" applyBorder="1" applyAlignment="1">
      <alignment horizontal="left" vertical="center" wrapText="1" indent="1"/>
    </xf>
    <xf numFmtId="0" fontId="59" fillId="0" borderId="29" xfId="0" applyNumberFormat="1" applyFont="1" applyBorder="1" applyAlignment="1">
      <alignment horizontal="left" vertical="center" wrapText="1" indent="1"/>
    </xf>
    <xf numFmtId="0" fontId="59" fillId="0" borderId="15" xfId="0" applyNumberFormat="1" applyFont="1" applyBorder="1" applyAlignment="1">
      <alignment horizontal="left" vertical="center" wrapText="1" indent="1"/>
    </xf>
    <xf numFmtId="0" fontId="6" fillId="0" borderId="20" xfId="0" applyNumberFormat="1" applyFont="1" applyBorder="1" applyAlignment="1">
      <alignment horizontal="left" vertical="center" indent="1"/>
    </xf>
    <xf numFmtId="0" fontId="6" fillId="15" borderId="5" xfId="0" applyNumberFormat="1" applyFont="1" applyFill="1" applyBorder="1" applyAlignment="1" applyProtection="1">
      <alignment horizontal="left" vertical="top" wrapText="1"/>
      <protection locked="0"/>
    </xf>
    <xf numFmtId="0" fontId="0" fillId="15" borderId="5" xfId="0" applyNumberFormat="1" applyFill="1" applyBorder="1" applyAlignment="1" applyProtection="1">
      <alignment horizontal="left" vertical="top"/>
      <protection locked="0"/>
    </xf>
    <xf numFmtId="0" fontId="0" fillId="0" borderId="10" xfId="0" applyNumberFormat="1" applyBorder="1" applyAlignment="1">
      <alignment horizontal="center" vertical="top"/>
    </xf>
    <xf numFmtId="0" fontId="0" fillId="0" borderId="29" xfId="0" applyNumberFormat="1" applyBorder="1" applyAlignment="1">
      <alignment horizontal="center" vertical="top"/>
    </xf>
    <xf numFmtId="0" fontId="0" fillId="0" borderId="16" xfId="0" applyNumberFormat="1" applyBorder="1" applyAlignment="1">
      <alignment horizontal="center" vertical="top"/>
    </xf>
    <xf numFmtId="0" fontId="6" fillId="0" borderId="10" xfId="0" applyNumberFormat="1" applyFont="1" applyBorder="1" applyAlignment="1">
      <alignment horizontal="left" vertical="top" wrapText="1"/>
    </xf>
    <xf numFmtId="0" fontId="6" fillId="0" borderId="29" xfId="0" applyNumberFormat="1" applyFont="1" applyBorder="1" applyAlignment="1">
      <alignment horizontal="left" vertical="top" wrapText="1"/>
    </xf>
    <xf numFmtId="0" fontId="6" fillId="0" borderId="16" xfId="0" applyNumberFormat="1" applyFont="1" applyBorder="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6" fillId="0" borderId="10" xfId="0" applyNumberFormat="1" applyFont="1" applyBorder="1" applyAlignment="1">
      <alignment horizontal="center" vertical="center" wrapText="1"/>
    </xf>
    <xf numFmtId="0" fontId="6" fillId="0" borderId="20" xfId="0" applyNumberFormat="1" applyFont="1" applyBorder="1" applyAlignment="1">
      <alignment horizontal="left" vertical="center" wrapText="1" inden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6" fillId="0" borderId="5" xfId="0" applyNumberFormat="1" applyFont="1" applyBorder="1" applyAlignment="1">
      <alignment horizontal="left" vertical="center" wrapText="1"/>
    </xf>
    <xf numFmtId="0" fontId="6" fillId="0" borderId="30" xfId="0" applyNumberFormat="1" applyFont="1" applyBorder="1" applyAlignment="1">
      <alignment horizontal="left" vertical="center" wrapText="1"/>
    </xf>
    <xf numFmtId="0" fontId="6" fillId="0" borderId="12" xfId="0" applyNumberFormat="1" applyFont="1" applyBorder="1" applyAlignment="1">
      <alignment horizontal="center" vertical="center"/>
    </xf>
    <xf numFmtId="0" fontId="6" fillId="0" borderId="0" xfId="0" applyNumberFormat="1" applyFont="1" applyAlignment="1">
      <alignment horizontal="center" vertical="center"/>
    </xf>
    <xf numFmtId="49" fontId="6" fillId="0" borderId="5" xfId="0" applyFont="1" applyBorder="1" applyAlignment="1">
      <alignment horizontal="center" vertical="center"/>
    </xf>
    <xf numFmtId="0" fontId="6" fillId="0" borderId="7" xfId="0" applyNumberFormat="1" applyFont="1" applyBorder="1" applyAlignment="1">
      <alignment horizontal="left" vertical="center" wrapText="1"/>
    </xf>
    <xf numFmtId="49" fontId="6" fillId="16" borderId="10" xfId="0" applyFont="1" applyFill="1" applyBorder="1" applyAlignment="1">
      <alignment horizontal="center" vertical="center" wrapText="1"/>
    </xf>
    <xf numFmtId="49" fontId="6" fillId="16" borderId="29" xfId="0" applyFont="1" applyFill="1" applyBorder="1" applyAlignment="1">
      <alignment horizontal="center" vertical="center" wrapText="1"/>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49" fontId="6" fillId="0" borderId="10" xfId="0" applyFont="1" applyBorder="1" applyAlignment="1">
      <alignment horizontal="center" vertical="center"/>
    </xf>
    <xf numFmtId="0" fontId="6" fillId="0" borderId="10" xfId="0" applyNumberFormat="1" applyFont="1" applyBorder="1" applyAlignment="1">
      <alignment horizontal="left" vertical="center" wrapText="1"/>
    </xf>
    <xf numFmtId="0" fontId="6" fillId="0" borderId="12" xfId="0" applyNumberFormat="1" applyFont="1" applyBorder="1" applyAlignment="1">
      <alignment horizontal="left" vertical="center" wrapText="1" indent="1"/>
    </xf>
    <xf numFmtId="0" fontId="6" fillId="0" borderId="30"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0" borderId="17"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23" xfId="0" applyNumberFormat="1" applyFont="1" applyBorder="1" applyAlignment="1">
      <alignment horizontal="center" vertical="center" wrapText="1"/>
    </xf>
    <xf numFmtId="0" fontId="6" fillId="0" borderId="22" xfId="0" applyNumberFormat="1" applyFont="1" applyBorder="1" applyAlignment="1">
      <alignment horizontal="center" vertical="center" wrapText="1"/>
    </xf>
    <xf numFmtId="49" fontId="6" fillId="10" borderId="0" xfId="0" applyFont="1" applyFill="1" applyAlignment="1">
      <alignment horizontal="center" vertical="center" wrapText="1"/>
    </xf>
    <xf numFmtId="0" fontId="35" fillId="0" borderId="0" xfId="0" applyNumberFormat="1" applyFont="1" applyAlignment="1">
      <alignment horizontal="right" vertical="top" wrapText="1"/>
    </xf>
    <xf numFmtId="49" fontId="0" fillId="10" borderId="5" xfId="0" applyFill="1" applyBorder="1" applyAlignment="1">
      <alignment horizontal="center" vertical="center" wrapText="1"/>
    </xf>
    <xf numFmtId="49" fontId="6" fillId="10" borderId="5" xfId="0" applyFont="1" applyFill="1" applyBorder="1" applyAlignment="1">
      <alignment horizontal="center" vertical="center" wrapText="1"/>
    </xf>
    <xf numFmtId="0" fontId="35" fillId="0" borderId="0" xfId="0" applyNumberFormat="1" applyFont="1" applyAlignment="1">
      <alignment horizontal="left" vertical="top" wrapText="1" indent="1"/>
    </xf>
    <xf numFmtId="0" fontId="80" fillId="10" borderId="0" xfId="0" applyNumberFormat="1" applyFont="1" applyFill="1" applyAlignment="1">
      <alignment horizontal="left" vertical="center" wrapText="1"/>
    </xf>
    <xf numFmtId="0" fontId="0" fillId="10" borderId="5" xfId="0" applyNumberForma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10" borderId="10" xfId="0" applyNumberFormat="1" applyFont="1" applyFill="1" applyBorder="1" applyAlignment="1">
      <alignment horizontal="left" vertical="top" wrapText="1"/>
    </xf>
    <xf numFmtId="0" fontId="6" fillId="10" borderId="29" xfId="0" applyNumberFormat="1" applyFont="1" applyFill="1" applyBorder="1" applyAlignment="1">
      <alignment horizontal="left" vertical="top" wrapText="1"/>
    </xf>
    <xf numFmtId="0" fontId="6" fillId="10" borderId="16" xfId="0" applyNumberFormat="1" applyFont="1" applyFill="1" applyBorder="1" applyAlignment="1">
      <alignment horizontal="left" vertical="top" wrapText="1"/>
    </xf>
    <xf numFmtId="0" fontId="6" fillId="10" borderId="17" xfId="0" applyNumberFormat="1" applyFont="1" applyFill="1" applyBorder="1" applyAlignment="1">
      <alignment horizontal="center" vertical="center" wrapText="1"/>
    </xf>
    <xf numFmtId="0" fontId="6" fillId="0" borderId="22" xfId="0" applyNumberFormat="1" applyFont="1" applyBorder="1" applyAlignment="1">
      <alignment horizontal="left" vertical="center" wrapText="1" indent="1"/>
    </xf>
    <xf numFmtId="0" fontId="6" fillId="0" borderId="16" xfId="0" applyNumberFormat="1" applyFont="1" applyBorder="1" applyAlignment="1">
      <alignment horizontal="left" vertical="center" wrapText="1" indent="1"/>
    </xf>
    <xf numFmtId="0" fontId="6" fillId="0" borderId="23" xfId="0" applyNumberFormat="1" applyFont="1" applyBorder="1" applyAlignment="1">
      <alignment horizontal="left" vertical="center" wrapText="1" indent="1"/>
    </xf>
    <xf numFmtId="0" fontId="36" fillId="0" borderId="0" xfId="0" applyNumberFormat="1" applyFont="1" applyAlignment="1">
      <alignment horizontal="center" vertical="center" wrapText="1"/>
    </xf>
    <xf numFmtId="0" fontId="0" fillId="0" borderId="7"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10" xfId="0" applyNumberFormat="1" applyBorder="1" applyAlignment="1">
      <alignment horizontal="left" vertical="top" wrapText="1"/>
    </xf>
    <xf numFmtId="0" fontId="0" fillId="0" borderId="16" xfId="0" applyNumberFormat="1" applyBorder="1" applyAlignment="1">
      <alignment horizontal="left" vertical="top" wrapText="1"/>
    </xf>
    <xf numFmtId="0" fontId="0" fillId="0" borderId="10" xfId="0" applyNumberFormat="1" applyBorder="1" applyAlignment="1">
      <alignment horizontal="center" vertical="center" wrapText="1"/>
    </xf>
    <xf numFmtId="0" fontId="0" fillId="0" borderId="16" xfId="0" applyNumberFormat="1" applyBorder="1" applyAlignment="1">
      <alignment horizontal="center" vertical="center" wrapText="1"/>
    </xf>
    <xf numFmtId="0" fontId="0" fillId="0" borderId="30" xfId="0" applyNumberFormat="1" applyBorder="1" applyAlignment="1">
      <alignment horizontal="center" vertical="center" wrapText="1"/>
    </xf>
    <xf numFmtId="0" fontId="0" fillId="0" borderId="23" xfId="0" applyNumberFormat="1" applyBorder="1" applyAlignment="1">
      <alignment horizontal="center" vertical="center" wrapText="1"/>
    </xf>
    <xf numFmtId="0" fontId="0" fillId="0" borderId="13" xfId="0" applyNumberFormat="1" applyBorder="1" applyAlignment="1">
      <alignment horizontal="center" vertical="center" wrapText="1"/>
    </xf>
    <xf numFmtId="0" fontId="0" fillId="0" borderId="22" xfId="0" applyNumberFormat="1" applyBorder="1" applyAlignment="1">
      <alignment horizontal="center" vertical="center" wrapText="1"/>
    </xf>
    <xf numFmtId="0" fontId="6" fillId="0" borderId="16" xfId="0" applyNumberFormat="1" applyFont="1" applyBorder="1" applyAlignment="1">
      <alignment horizontal="center" vertical="center" wrapText="1"/>
    </xf>
    <xf numFmtId="49" fontId="0" fillId="0" borderId="30" xfId="0" applyBorder="1" applyAlignment="1">
      <alignment horizontal="center" vertical="center" wrapText="1"/>
    </xf>
    <xf numFmtId="49" fontId="0" fillId="0" borderId="23" xfId="0" applyBorder="1" applyAlignment="1">
      <alignment horizontal="center" vertical="center" wrapText="1"/>
    </xf>
    <xf numFmtId="0" fontId="6" fillId="16" borderId="12" xfId="0" applyNumberFormat="1" applyFont="1" applyFill="1" applyBorder="1" applyAlignment="1">
      <alignment horizontal="left" vertical="center" wrapText="1"/>
    </xf>
    <xf numFmtId="0" fontId="6" fillId="16" borderId="20" xfId="0" applyNumberFormat="1" applyFont="1" applyFill="1" applyBorder="1" applyAlignment="1">
      <alignment horizontal="left" vertical="center" wrapText="1"/>
    </xf>
    <xf numFmtId="0" fontId="6" fillId="0" borderId="12" xfId="0" applyNumberFormat="1" applyFont="1" applyBorder="1" applyAlignment="1">
      <alignment horizontal="left" vertical="top" wrapText="1" indent="1"/>
    </xf>
    <xf numFmtId="0" fontId="0" fillId="0" borderId="29" xfId="0" applyNumberFormat="1" applyBorder="1" applyAlignment="1">
      <alignment horizontal="left" vertical="top" wrapText="1"/>
    </xf>
    <xf numFmtId="0" fontId="6" fillId="11" borderId="7" xfId="0" applyNumberFormat="1" applyFont="1" applyFill="1" applyBorder="1" applyAlignment="1">
      <alignment horizontal="left" vertical="center" wrapText="1"/>
    </xf>
    <xf numFmtId="0" fontId="6" fillId="11" borderId="8" xfId="0" applyNumberFormat="1" applyFont="1" applyFill="1" applyBorder="1" applyAlignment="1">
      <alignment horizontal="left" vertical="center" wrapText="1"/>
    </xf>
    <xf numFmtId="0" fontId="6" fillId="11" borderId="6" xfId="0" applyNumberFormat="1" applyFont="1" applyFill="1" applyBorder="1" applyAlignment="1">
      <alignment horizontal="left" vertical="center" wrapText="1"/>
    </xf>
    <xf numFmtId="0" fontId="6" fillId="16" borderId="7" xfId="0" applyNumberFormat="1" applyFont="1" applyFill="1" applyBorder="1" applyAlignment="1">
      <alignment horizontal="left" vertical="center" wrapText="1"/>
    </xf>
    <xf numFmtId="0" fontId="6" fillId="16" borderId="8" xfId="0" applyNumberFormat="1" applyFont="1" applyFill="1" applyBorder="1" applyAlignment="1">
      <alignment horizontal="left" vertical="center" wrapText="1"/>
    </xf>
    <xf numFmtId="0" fontId="6" fillId="16" borderId="6" xfId="0" applyNumberFormat="1" applyFont="1" applyFill="1" applyBorder="1" applyAlignment="1">
      <alignment horizontal="left" vertical="center" wrapText="1"/>
    </xf>
    <xf numFmtId="0" fontId="0" fillId="10" borderId="5" xfId="0" applyNumberFormat="1" applyFill="1" applyBorder="1" applyAlignment="1">
      <alignment horizontal="right" vertical="center" wrapText="1" indent="1"/>
    </xf>
    <xf numFmtId="0" fontId="6" fillId="11" borderId="5" xfId="0" applyNumberFormat="1" applyFont="1" applyFill="1" applyBorder="1" applyAlignment="1">
      <alignment horizontal="left" vertical="center" wrapText="1" indent="1"/>
    </xf>
    <xf numFmtId="0" fontId="27" fillId="0" borderId="20" xfId="0" applyNumberFormat="1" applyFont="1" applyBorder="1" applyAlignment="1">
      <alignment horizontal="center" vertical="center" wrapText="1"/>
    </xf>
    <xf numFmtId="0" fontId="35" fillId="0" borderId="10" xfId="0" applyNumberFormat="1" applyFont="1" applyBorder="1" applyAlignment="1">
      <alignment horizontal="left" vertical="top" wrapText="1"/>
    </xf>
    <xf numFmtId="0" fontId="35" fillId="0" borderId="29" xfId="0" applyNumberFormat="1" applyFont="1" applyBorder="1" applyAlignment="1">
      <alignment horizontal="left" vertical="top" wrapText="1"/>
    </xf>
    <xf numFmtId="0" fontId="35" fillId="0" borderId="16" xfId="0" applyNumberFormat="1" applyFont="1" applyBorder="1" applyAlignment="1">
      <alignment horizontal="left" vertical="top" wrapText="1"/>
    </xf>
    <xf numFmtId="0" fontId="3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36" fillId="0" borderId="5" xfId="0" applyNumberFormat="1" applyFont="1" applyBorder="1" applyAlignment="1">
      <alignment horizontal="center" vertical="center"/>
    </xf>
    <xf numFmtId="0" fontId="36" fillId="0" borderId="7" xfId="0" applyNumberFormat="1" applyFont="1" applyBorder="1" applyAlignment="1">
      <alignment horizontal="center" vertical="center"/>
    </xf>
    <xf numFmtId="170" fontId="6" fillId="11" borderId="5" xfId="0" applyNumberFormat="1" applyFont="1" applyFill="1" applyBorder="1" applyAlignment="1">
      <alignment horizontal="left" vertical="center" wrapText="1" indent="1"/>
    </xf>
    <xf numFmtId="170" fontId="0" fillId="15" borderId="5" xfId="0" applyNumberFormat="1" applyFill="1" applyBorder="1" applyAlignment="1" applyProtection="1">
      <alignment horizontal="center" vertical="center" wrapText="1"/>
      <protection locked="0"/>
    </xf>
    <xf numFmtId="49" fontId="0" fillId="15" borderId="5" xfId="0" applyFill="1" applyBorder="1" applyAlignment="1" applyProtection="1">
      <alignment horizontal="center" vertical="center" wrapText="1"/>
      <protection locked="0"/>
    </xf>
    <xf numFmtId="170" fontId="36" fillId="0" borderId="5" xfId="0" applyNumberFormat="1" applyFont="1" applyBorder="1" applyAlignment="1">
      <alignment horizontal="center" vertical="center" wrapText="1"/>
    </xf>
    <xf numFmtId="49" fontId="36" fillId="0" borderId="5" xfId="0"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6" fillId="10" borderId="5" xfId="0" applyNumberFormat="1" applyFont="1" applyFill="1" applyBorder="1" applyAlignment="1">
      <alignment horizontal="left" vertical="center" wrapText="1"/>
    </xf>
    <xf numFmtId="0" fontId="0" fillId="10" borderId="7" xfId="0" applyNumberFormat="1" applyFill="1" applyBorder="1" applyAlignment="1">
      <alignment horizontal="center" vertical="center" wrapText="1"/>
    </xf>
    <xf numFmtId="0" fontId="0" fillId="10" borderId="8" xfId="0" applyNumberFormat="1" applyFill="1" applyBorder="1" applyAlignment="1">
      <alignment horizontal="center" vertical="center" wrapText="1"/>
    </xf>
    <xf numFmtId="0" fontId="0" fillId="10" borderId="6" xfId="0" applyNumberFormat="1" applyFill="1" applyBorder="1" applyAlignment="1">
      <alignment horizontal="center" vertical="center" wrapText="1"/>
    </xf>
    <xf numFmtId="0" fontId="6" fillId="10" borderId="10" xfId="0" applyNumberFormat="1" applyFont="1" applyFill="1" applyBorder="1" applyAlignment="1">
      <alignment horizontal="center" vertical="center" wrapText="1"/>
    </xf>
    <xf numFmtId="0" fontId="6" fillId="10" borderId="29" xfId="0" applyNumberFormat="1" applyFont="1" applyFill="1" applyBorder="1" applyAlignment="1">
      <alignment horizontal="center" vertical="center" wrapText="1"/>
    </xf>
    <xf numFmtId="0" fontId="6" fillId="10" borderId="16" xfId="0" applyNumberFormat="1" applyFont="1" applyFill="1" applyBorder="1" applyAlignment="1">
      <alignment horizontal="center" vertical="center" wrapText="1"/>
    </xf>
    <xf numFmtId="49" fontId="30" fillId="13" borderId="10" xfId="0" applyFont="1" applyFill="1" applyBorder="1" applyAlignment="1">
      <alignment horizontal="center" vertical="center" textRotation="90" wrapText="1"/>
    </xf>
    <xf numFmtId="49" fontId="30" fillId="13" borderId="29" xfId="0" applyFont="1" applyFill="1" applyBorder="1" applyAlignment="1">
      <alignment horizontal="center" vertical="center" textRotation="90" wrapText="1"/>
    </xf>
    <xf numFmtId="49" fontId="30" fillId="13" borderId="16" xfId="0" applyFont="1" applyFill="1" applyBorder="1" applyAlignment="1">
      <alignment horizontal="center" vertical="center" textRotation="90" wrapText="1"/>
    </xf>
    <xf numFmtId="0" fontId="36" fillId="0" borderId="10" xfId="0" applyNumberFormat="1" applyFont="1" applyBorder="1" applyAlignment="1">
      <alignment horizontal="center" vertical="center" wrapText="1"/>
    </xf>
    <xf numFmtId="0" fontId="36" fillId="0" borderId="16"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36" fillId="0" borderId="7" xfId="0" applyNumberFormat="1" applyFont="1" applyBorder="1" applyAlignment="1">
      <alignment horizontal="center" vertical="center" wrapText="1"/>
    </xf>
    <xf numFmtId="170" fontId="0" fillId="15" borderId="10" xfId="0" applyNumberFormat="1" applyFill="1" applyBorder="1" applyAlignment="1" applyProtection="1">
      <alignment horizontal="center" vertical="center" wrapText="1"/>
      <protection locked="0"/>
    </xf>
    <xf numFmtId="49" fontId="0" fillId="15" borderId="16" xfId="0" applyFill="1" applyBorder="1" applyAlignment="1" applyProtection="1">
      <alignment horizontal="center" vertical="center" wrapText="1"/>
      <protection locked="0"/>
    </xf>
    <xf numFmtId="0" fontId="6" fillId="0" borderId="5" xfId="0" applyNumberFormat="1" applyFont="1" applyBorder="1" applyAlignment="1">
      <alignment horizontal="center" vertical="center"/>
    </xf>
    <xf numFmtId="0" fontId="6" fillId="0" borderId="7" xfId="0" applyNumberFormat="1" applyFont="1" applyBorder="1" applyAlignment="1">
      <alignment horizontal="center" vertical="center"/>
    </xf>
    <xf numFmtId="0" fontId="0" fillId="10" borderId="12" xfId="0" applyNumberFormat="1" applyFill="1" applyBorder="1" applyAlignment="1">
      <alignment horizontal="center" vertical="center" wrapText="1"/>
    </xf>
    <xf numFmtId="0" fontId="37" fillId="0" borderId="10" xfId="0" applyNumberFormat="1" applyFont="1" applyBorder="1" applyAlignment="1">
      <alignment horizontal="center" vertical="center" wrapText="1"/>
    </xf>
    <xf numFmtId="0" fontId="37" fillId="0" borderId="16" xfId="0" applyNumberFormat="1" applyFont="1" applyBorder="1" applyAlignment="1">
      <alignment horizontal="center" vertical="center" wrapText="1"/>
    </xf>
    <xf numFmtId="0" fontId="37" fillId="0" borderId="7" xfId="0" applyNumberFormat="1" applyFont="1" applyBorder="1" applyAlignment="1">
      <alignment horizontal="left" vertical="center" wrapText="1"/>
    </xf>
    <xf numFmtId="0" fontId="37" fillId="0" borderId="8" xfId="0" applyNumberFormat="1" applyFont="1" applyBorder="1" applyAlignment="1">
      <alignment horizontal="left" vertical="center" wrapText="1"/>
    </xf>
    <xf numFmtId="0" fontId="37" fillId="0" borderId="6" xfId="0" applyNumberFormat="1" applyFont="1" applyBorder="1" applyAlignment="1">
      <alignment horizontal="left" vertical="center" wrapText="1"/>
    </xf>
    <xf numFmtId="0" fontId="6" fillId="11" borderId="30" xfId="0" applyNumberFormat="1" applyFont="1" applyFill="1" applyBorder="1" applyAlignment="1">
      <alignment horizontal="left" vertical="center" wrapText="1"/>
    </xf>
    <xf numFmtId="0" fontId="6" fillId="11" borderId="12" xfId="0" applyNumberFormat="1" applyFont="1" applyFill="1" applyBorder="1" applyAlignment="1">
      <alignment horizontal="left" vertical="center" wrapText="1"/>
    </xf>
    <xf numFmtId="0" fontId="6" fillId="11" borderId="13" xfId="0" applyNumberFormat="1" applyFont="1" applyFill="1" applyBorder="1" applyAlignment="1">
      <alignment horizontal="left" vertical="center" wrapText="1"/>
    </xf>
    <xf numFmtId="0" fontId="6" fillId="11" borderId="5" xfId="0" applyNumberFormat="1" applyFont="1" applyFill="1" applyBorder="1" applyAlignment="1">
      <alignment horizontal="left" vertical="center" wrapText="1"/>
    </xf>
    <xf numFmtId="0" fontId="37" fillId="0" borderId="5" xfId="0" applyNumberFormat="1" applyFont="1" applyBorder="1" applyAlignment="1">
      <alignment horizontal="left" vertical="center" wrapText="1"/>
    </xf>
    <xf numFmtId="0" fontId="6" fillId="16" borderId="5" xfId="0" applyNumberFormat="1" applyFont="1" applyFill="1" applyBorder="1" applyAlignment="1">
      <alignment horizontal="left" vertical="center" wrapText="1"/>
    </xf>
    <xf numFmtId="170" fontId="0" fillId="15" borderId="16" xfId="0" applyNumberFormat="1" applyFill="1" applyBorder="1" applyAlignment="1" applyProtection="1">
      <alignment horizontal="center" vertical="center" wrapText="1"/>
      <protection locked="0"/>
    </xf>
    <xf numFmtId="0" fontId="6" fillId="16" borderId="13" xfId="0" applyNumberFormat="1" applyFont="1" applyFill="1" applyBorder="1" applyAlignment="1">
      <alignment horizontal="left" vertical="center" wrapText="1"/>
    </xf>
    <xf numFmtId="0" fontId="6" fillId="0" borderId="12" xfId="0" applyNumberFormat="1" applyFont="1" applyBorder="1" applyAlignment="1">
      <alignment horizontal="center" vertical="center" wrapText="1"/>
    </xf>
    <xf numFmtId="0" fontId="6" fillId="0" borderId="20" xfId="0" applyNumberFormat="1" applyFont="1" applyBorder="1" applyAlignment="1">
      <alignment horizontal="center" vertical="center" wrapText="1"/>
    </xf>
    <xf numFmtId="0" fontId="0" fillId="0" borderId="29" xfId="0" applyNumberFormat="1" applyBorder="1" applyAlignment="1">
      <alignment horizontal="center" vertical="center" wrapText="1"/>
    </xf>
    <xf numFmtId="0" fontId="27" fillId="0" borderId="5" xfId="0" applyNumberFormat="1" applyFont="1" applyBorder="1" applyAlignment="1">
      <alignment horizontal="center" vertical="center" wrapText="1"/>
    </xf>
    <xf numFmtId="49" fontId="6" fillId="16" borderId="5" xfId="0" applyFont="1" applyFill="1" applyBorder="1" applyAlignment="1">
      <alignment horizontal="left" vertical="center" wrapText="1" indent="1"/>
    </xf>
    <xf numFmtId="0" fontId="0" fillId="10" borderId="30" xfId="0" applyNumberFormat="1" applyFill="1" applyBorder="1" applyAlignment="1">
      <alignment horizontal="center" vertical="center" wrapText="1"/>
    </xf>
    <xf numFmtId="0" fontId="0" fillId="10" borderId="13" xfId="0" applyNumberFormat="1" applyFill="1" applyBorder="1" applyAlignment="1">
      <alignment horizontal="center" vertical="center" wrapText="1"/>
    </xf>
    <xf numFmtId="0" fontId="0" fillId="10" borderId="15" xfId="0" applyNumberFormat="1" applyFill="1" applyBorder="1" applyAlignment="1">
      <alignment horizontal="center" vertical="center" wrapText="1"/>
    </xf>
    <xf numFmtId="0" fontId="0" fillId="10" borderId="0" xfId="0" applyNumberFormat="1" applyFill="1" applyAlignment="1">
      <alignment horizontal="center" vertical="center" wrapText="1"/>
    </xf>
    <xf numFmtId="0" fontId="0" fillId="10" borderId="17" xfId="0" applyNumberFormat="1" applyFill="1" applyBorder="1" applyAlignment="1">
      <alignment horizontal="center" vertical="center" wrapText="1"/>
    </xf>
    <xf numFmtId="0" fontId="0" fillId="10" borderId="23" xfId="0" applyNumberFormat="1" applyFill="1" applyBorder="1" applyAlignment="1">
      <alignment horizontal="center" vertical="center" wrapText="1"/>
    </xf>
    <xf numFmtId="0" fontId="0" fillId="10" borderId="20" xfId="0" applyNumberFormat="1" applyFill="1" applyBorder="1" applyAlignment="1">
      <alignment horizontal="center" vertical="center" wrapText="1"/>
    </xf>
    <xf numFmtId="0" fontId="0" fillId="10" borderId="22" xfId="0" applyNumberFormat="1" applyFill="1" applyBorder="1" applyAlignment="1">
      <alignment horizontal="center" vertical="center" wrapText="1"/>
    </xf>
    <xf numFmtId="0" fontId="6" fillId="10" borderId="30" xfId="0" applyNumberFormat="1" applyFont="1" applyFill="1" applyBorder="1" applyAlignment="1">
      <alignment horizontal="center" vertical="center" wrapText="1"/>
    </xf>
    <xf numFmtId="0" fontId="6" fillId="10" borderId="15" xfId="0" applyNumberFormat="1" applyFont="1" applyFill="1" applyBorder="1" applyAlignment="1">
      <alignment horizontal="center" vertical="center" wrapText="1"/>
    </xf>
    <xf numFmtId="0" fontId="6" fillId="10" borderId="23" xfId="0" applyNumberFormat="1" applyFont="1" applyFill="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0" fontId="6" fillId="10" borderId="10" xfId="0" applyNumberFormat="1" applyFont="1" applyFill="1" applyBorder="1" applyAlignment="1">
      <alignment horizontal="left" vertical="center" wrapText="1"/>
    </xf>
    <xf numFmtId="0" fontId="6" fillId="10" borderId="29" xfId="0" applyNumberFormat="1" applyFont="1" applyFill="1" applyBorder="1" applyAlignment="1">
      <alignment horizontal="left" vertical="center" wrapText="1"/>
    </xf>
    <xf numFmtId="0" fontId="6" fillId="10" borderId="16" xfId="0" applyNumberFormat="1" applyFont="1" applyFill="1" applyBorder="1" applyAlignment="1">
      <alignment horizontal="left" vertical="center" wrapText="1"/>
    </xf>
    <xf numFmtId="49" fontId="6" fillId="15" borderId="10" xfId="0" applyFont="1" applyFill="1" applyBorder="1" applyAlignment="1" applyProtection="1">
      <alignment horizontal="left" vertical="center" wrapText="1" indent="6"/>
      <protection locked="0"/>
    </xf>
    <xf numFmtId="49" fontId="6" fillId="15" borderId="29" xfId="0" applyFont="1" applyFill="1" applyBorder="1" applyAlignment="1" applyProtection="1">
      <alignment horizontal="left" vertical="center" wrapText="1" indent="6"/>
      <protection locked="0"/>
    </xf>
    <xf numFmtId="49" fontId="6" fillId="15" borderId="16" xfId="0" applyFont="1" applyFill="1" applyBorder="1" applyAlignment="1" applyProtection="1">
      <alignment horizontal="left" vertical="center" wrapText="1" indent="6"/>
      <protection locked="0"/>
    </xf>
    <xf numFmtId="0" fontId="37" fillId="0" borderId="17" xfId="0" applyNumberFormat="1" applyFont="1" applyBorder="1" applyAlignment="1">
      <alignment horizontal="center" vertical="top" wrapText="1"/>
    </xf>
    <xf numFmtId="49" fontId="6" fillId="0" borderId="5" xfId="0" applyFont="1" applyBorder="1" applyAlignment="1">
      <alignment horizontal="left" vertical="center" wrapText="1" indent="1"/>
    </xf>
    <xf numFmtId="0" fontId="35" fillId="0" borderId="5" xfId="0" applyNumberFormat="1" applyFont="1" applyBorder="1" applyAlignment="1">
      <alignment horizontal="left" vertical="top" wrapText="1"/>
    </xf>
    <xf numFmtId="0" fontId="6" fillId="12" borderId="7" xfId="0" applyNumberFormat="1" applyFont="1" applyFill="1" applyBorder="1" applyAlignment="1" applyProtection="1">
      <alignment horizontal="left" vertical="center" wrapText="1"/>
      <protection locked="0"/>
    </xf>
    <xf numFmtId="0" fontId="6" fillId="12" borderId="8" xfId="0" applyNumberFormat="1" applyFont="1" applyFill="1" applyBorder="1" applyAlignment="1" applyProtection="1">
      <alignment horizontal="left" vertical="center" wrapText="1"/>
      <protection locked="0"/>
    </xf>
    <xf numFmtId="0" fontId="6" fillId="12" borderId="6" xfId="0" applyNumberFormat="1" applyFont="1" applyFill="1" applyBorder="1" applyAlignment="1" applyProtection="1">
      <alignment horizontal="left" vertical="center" wrapText="1"/>
      <protection locked="0"/>
    </xf>
    <xf numFmtId="49" fontId="6" fillId="12" borderId="7" xfId="0" applyFont="1" applyFill="1" applyBorder="1" applyAlignment="1" applyProtection="1">
      <alignment horizontal="left" vertical="center" wrapText="1"/>
      <protection locked="0"/>
    </xf>
    <xf numFmtId="49" fontId="6" fillId="12" borderId="8" xfId="0" applyFont="1" applyFill="1" applyBorder="1" applyAlignment="1" applyProtection="1">
      <alignment horizontal="left" vertical="center" wrapText="1"/>
      <protection locked="0"/>
    </xf>
    <xf numFmtId="49" fontId="6" fillId="12" borderId="6" xfId="0" applyFont="1" applyFill="1" applyBorder="1" applyAlignment="1" applyProtection="1">
      <alignment horizontal="left" vertical="center" wrapText="1"/>
      <protection locked="0"/>
    </xf>
    <xf numFmtId="0" fontId="6" fillId="15" borderId="6" xfId="0" applyNumberFormat="1" applyFont="1" applyFill="1" applyBorder="1" applyAlignment="1" applyProtection="1">
      <alignment horizontal="center" vertical="center" wrapText="1"/>
      <protection locked="0"/>
    </xf>
    <xf numFmtId="4" fontId="6" fillId="15" borderId="5" xfId="0" applyNumberFormat="1" applyFont="1" applyFill="1" applyBorder="1" applyAlignment="1" applyProtection="1">
      <alignment horizontal="center" vertical="center" wrapText="1"/>
      <protection locked="0"/>
    </xf>
    <xf numFmtId="49" fontId="6" fillId="16" borderId="13" xfId="0" applyFont="1" applyFill="1" applyBorder="1" applyAlignment="1">
      <alignment horizontal="center" vertical="center" wrapText="1"/>
    </xf>
    <xf numFmtId="49" fontId="6" fillId="16" borderId="22" xfId="0" applyFont="1" applyFill="1" applyBorder="1" applyAlignment="1">
      <alignment horizontal="center" vertical="center" wrapText="1"/>
    </xf>
    <xf numFmtId="49" fontId="6" fillId="12" borderId="10" xfId="0" applyFont="1" applyFill="1" applyBorder="1" applyAlignment="1" applyProtection="1">
      <alignment horizontal="left" vertical="center" wrapText="1" indent="6"/>
      <protection locked="0"/>
    </xf>
    <xf numFmtId="49" fontId="6" fillId="12" borderId="29" xfId="0" applyFont="1" applyFill="1" applyBorder="1" applyAlignment="1" applyProtection="1">
      <alignment horizontal="left" vertical="center" wrapText="1" indent="6"/>
      <protection locked="0"/>
    </xf>
    <xf numFmtId="49" fontId="6" fillId="12" borderId="16" xfId="0" applyFont="1" applyFill="1" applyBorder="1" applyAlignment="1" applyProtection="1">
      <alignment horizontal="left" vertical="center" wrapText="1" indent="6"/>
      <protection locked="0"/>
    </xf>
    <xf numFmtId="49" fontId="6" fillId="16" borderId="5" xfId="0" applyFont="1" applyFill="1" applyBorder="1" applyAlignment="1" applyProtection="1">
      <alignment horizontal="left" vertical="center" wrapText="1" indent="1"/>
      <protection locked="0"/>
    </xf>
    <xf numFmtId="4" fontId="6" fillId="15" borderId="5" xfId="0" applyNumberFormat="1" applyFont="1" applyFill="1" applyBorder="1" applyAlignment="1" applyProtection="1">
      <alignment horizontal="left" vertical="center" wrapText="1" indent="1"/>
      <protection locked="0"/>
    </xf>
    <xf numFmtId="0" fontId="37" fillId="0" borderId="12" xfId="0" applyNumberFormat="1" applyFont="1" applyBorder="1" applyAlignment="1">
      <alignment horizontal="left" vertical="center" wrapText="1"/>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6" fillId="0" borderId="7" xfId="0" applyNumberFormat="1" applyFont="1" applyBorder="1" applyAlignment="1">
      <alignment horizontal="right" vertical="center" wrapText="1"/>
    </xf>
    <xf numFmtId="0" fontId="6" fillId="0" borderId="8" xfId="0" applyNumberFormat="1" applyFont="1" applyBorder="1" applyAlignment="1">
      <alignment horizontal="right" vertical="center" wrapText="1"/>
    </xf>
    <xf numFmtId="49" fontId="78" fillId="21" borderId="0" xfId="0" applyFont="1" applyFill="1" applyAlignment="1">
      <alignment horizontal="center" vertical="center" textRotation="90" wrapText="1"/>
    </xf>
    <xf numFmtId="0" fontId="59" fillId="0" borderId="0" xfId="0" applyNumberFormat="1" applyFont="1" applyAlignment="1">
      <alignment horizontal="center" vertical="center" wrapText="1"/>
    </xf>
    <xf numFmtId="0" fontId="36" fillId="0" borderId="0" xfId="0" applyNumberFormat="1" applyFont="1" applyAlignment="1">
      <alignment horizontal="center" vertical="top"/>
    </xf>
    <xf numFmtId="0" fontId="6" fillId="0" borderId="16" xfId="0" applyNumberFormat="1" applyFont="1" applyBorder="1" applyAlignment="1">
      <alignment horizontal="left" vertical="center" wrapText="1"/>
    </xf>
    <xf numFmtId="0" fontId="0" fillId="0" borderId="7" xfId="0" applyNumberFormat="1" applyBorder="1" applyAlignment="1">
      <alignment horizontal="right" vertical="center" wrapText="1" indent="1"/>
    </xf>
    <xf numFmtId="0" fontId="0" fillId="0" borderId="8"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49" fontId="37" fillId="0" borderId="10" xfId="0" applyFont="1" applyBorder="1" applyAlignment="1">
      <alignment horizontal="center" vertical="center" wrapText="1"/>
    </xf>
    <xf numFmtId="49" fontId="37" fillId="0" borderId="29" xfId="0" applyFont="1" applyBorder="1" applyAlignment="1">
      <alignment horizontal="center" vertical="center" wrapText="1"/>
    </xf>
    <xf numFmtId="49" fontId="37" fillId="0" borderId="16" xfId="0" applyFont="1" applyBorder="1" applyAlignment="1">
      <alignment horizontal="center" vertical="center" wrapText="1"/>
    </xf>
    <xf numFmtId="0" fontId="0" fillId="11" borderId="5" xfId="0" applyNumberFormat="1" applyFill="1" applyBorder="1" applyAlignment="1">
      <alignment horizontal="left" vertical="center" wrapText="1" indent="1"/>
    </xf>
    <xf numFmtId="0" fontId="35" fillId="0" borderId="0" xfId="0" applyNumberFormat="1" applyFont="1" applyAlignment="1">
      <alignment horizontal="left" vertical="top" wrapText="1"/>
    </xf>
    <xf numFmtId="49" fontId="6" fillId="0" borderId="10" xfId="0" applyFont="1" applyBorder="1" applyAlignment="1">
      <alignment horizontal="center" vertical="center" wrapText="1"/>
    </xf>
    <xf numFmtId="49" fontId="6" fillId="0" borderId="29" xfId="0" applyFont="1" applyBorder="1" applyAlignment="1">
      <alignment horizontal="center" vertical="center" wrapText="1"/>
    </xf>
    <xf numFmtId="49" fontId="6" fillId="0" borderId="16" xfId="0" applyFont="1" applyBorder="1" applyAlignment="1">
      <alignment horizontal="center" vertical="center" wrapText="1"/>
    </xf>
    <xf numFmtId="0" fontId="37" fillId="0" borderId="8" xfId="0" applyNumberFormat="1" applyFont="1" applyBorder="1" applyAlignment="1">
      <alignment horizontal="right" vertical="center" wrapText="1" indent="1"/>
    </xf>
    <xf numFmtId="0" fontId="37" fillId="0" borderId="6" xfId="0" applyNumberFormat="1" applyFont="1" applyBorder="1" applyAlignment="1">
      <alignment horizontal="right" vertical="center" wrapText="1" indent="1"/>
    </xf>
    <xf numFmtId="49" fontId="6" fillId="31" borderId="0" xfId="0" applyFont="1" applyFill="1" applyAlignment="1">
      <alignment horizontal="center" vertical="center" textRotation="90" wrapText="1"/>
    </xf>
    <xf numFmtId="0" fontId="6" fillId="11" borderId="7" xfId="0" applyNumberFormat="1" applyFont="1" applyFill="1" applyBorder="1" applyAlignment="1">
      <alignment horizontal="left" vertical="top" wrapText="1"/>
    </xf>
    <xf numFmtId="0" fontId="6" fillId="11" borderId="6" xfId="0" applyNumberFormat="1" applyFont="1" applyFill="1" applyBorder="1" applyAlignment="1">
      <alignment horizontal="left" vertical="top" wrapText="1"/>
    </xf>
    <xf numFmtId="0" fontId="6" fillId="11" borderId="7" xfId="0" applyNumberFormat="1" applyFont="1" applyFill="1" applyBorder="1" applyAlignment="1">
      <alignment horizontal="left" vertical="top" wrapText="1" indent="1"/>
    </xf>
    <xf numFmtId="0" fontId="6" fillId="11" borderId="6" xfId="0" applyNumberFormat="1" applyFont="1" applyFill="1" applyBorder="1" applyAlignment="1">
      <alignment horizontal="left" vertical="top" wrapText="1" indent="1"/>
    </xf>
    <xf numFmtId="49" fontId="6" fillId="0" borderId="0" xfId="0" applyFont="1" applyAlignment="1">
      <alignment vertical="center" wrapText="1"/>
    </xf>
    <xf numFmtId="0" fontId="26" fillId="0" borderId="17" xfId="0" applyNumberFormat="1" applyFont="1" applyBorder="1" applyAlignment="1">
      <alignment horizontal="center" vertical="center" wrapText="1"/>
    </xf>
    <xf numFmtId="49" fontId="0" fillId="0" borderId="5" xfId="0" applyBorder="1" applyAlignment="1">
      <alignment horizontal="center" vertical="center" wrapText="1"/>
    </xf>
    <xf numFmtId="0" fontId="0" fillId="0" borderId="5" xfId="0" applyNumberFormat="1" applyBorder="1" applyAlignment="1">
      <alignment horizontal="left" vertical="center" wrapText="1" indent="1"/>
    </xf>
    <xf numFmtId="49" fontId="6" fillId="0" borderId="5" xfId="0" applyFont="1" applyBorder="1" applyAlignment="1">
      <alignment horizontal="left" vertical="center" wrapText="1"/>
    </xf>
    <xf numFmtId="49" fontId="6" fillId="0" borderId="7" xfId="0" applyFont="1" applyBorder="1" applyAlignment="1">
      <alignment horizontal="center" vertical="center" wrapText="1"/>
    </xf>
    <xf numFmtId="49" fontId="37" fillId="0" borderId="5" xfId="0" applyFont="1" applyBorder="1" applyAlignment="1">
      <alignment horizontal="center" vertical="center" wrapText="1"/>
    </xf>
    <xf numFmtId="49" fontId="6" fillId="16" borderId="5" xfId="0" applyFont="1" applyFill="1" applyBorder="1" applyAlignment="1">
      <alignment horizontal="center" vertical="top" wrapText="1"/>
    </xf>
    <xf numFmtId="49" fontId="6" fillId="16" borderId="7" xfId="0" applyFont="1" applyFill="1" applyBorder="1" applyAlignment="1">
      <alignment horizontal="center" vertical="top" wrapText="1"/>
    </xf>
    <xf numFmtId="0" fontId="6" fillId="12" borderId="5" xfId="0" applyNumberFormat="1" applyFont="1" applyFill="1" applyBorder="1" applyAlignment="1" applyProtection="1">
      <alignment horizontal="left" vertical="top" wrapText="1"/>
      <protection locked="0"/>
    </xf>
    <xf numFmtId="170" fontId="0" fillId="12" borderId="5" xfId="0" applyNumberFormat="1" applyFill="1" applyBorder="1" applyAlignment="1" applyProtection="1">
      <alignment horizontal="center" vertical="top" wrapText="1"/>
      <protection locked="0"/>
    </xf>
    <xf numFmtId="49" fontId="0" fillId="12" borderId="5" xfId="0" applyFill="1" applyBorder="1" applyAlignment="1" applyProtection="1">
      <alignment horizontal="center" vertical="top" wrapText="1"/>
      <protection locked="0"/>
    </xf>
    <xf numFmtId="49" fontId="6" fillId="15" borderId="5" xfId="0" applyFont="1" applyFill="1" applyBorder="1" applyAlignment="1" applyProtection="1">
      <alignment horizontal="left" vertical="top" wrapText="1"/>
      <protection locked="0"/>
    </xf>
    <xf numFmtId="49" fontId="0" fillId="11" borderId="5" xfId="0" applyFill="1" applyBorder="1" applyAlignment="1">
      <alignment horizontal="center" vertical="top" wrapText="1"/>
    </xf>
    <xf numFmtId="0" fontId="6" fillId="11" borderId="5" xfId="0" applyNumberFormat="1" applyFont="1" applyFill="1" applyBorder="1" applyAlignment="1">
      <alignment horizontal="center" vertical="top" wrapText="1"/>
    </xf>
    <xf numFmtId="49" fontId="6" fillId="0" borderId="5" xfId="0" applyFont="1" applyBorder="1" applyAlignment="1">
      <alignment horizontal="center" vertical="top" wrapText="1"/>
    </xf>
    <xf numFmtId="0" fontId="0" fillId="11" borderId="5" xfId="0" applyNumberFormat="1" applyFill="1" applyBorder="1" applyAlignment="1">
      <alignment horizontal="left" vertical="top" wrapText="1" indent="1"/>
    </xf>
    <xf numFmtId="49" fontId="6" fillId="16" borderId="10" xfId="0" applyFont="1" applyFill="1" applyBorder="1" applyAlignment="1">
      <alignment horizontal="center" vertical="top" wrapText="1"/>
    </xf>
    <xf numFmtId="49" fontId="6" fillId="16" borderId="16" xfId="0" applyFont="1" applyFill="1" applyBorder="1" applyAlignment="1">
      <alignment horizontal="center" vertical="top" wrapText="1"/>
    </xf>
    <xf numFmtId="170" fontId="0" fillId="15" borderId="5" xfId="0" applyNumberFormat="1" applyFill="1" applyBorder="1" applyAlignment="1" applyProtection="1">
      <alignment horizontal="center" vertical="top" wrapText="1"/>
      <protection locked="0"/>
    </xf>
    <xf numFmtId="49" fontId="0" fillId="15" borderId="5" xfId="0" applyFill="1" applyBorder="1" applyAlignment="1" applyProtection="1">
      <alignment horizontal="center" vertical="top" wrapText="1"/>
      <protection locked="0"/>
    </xf>
    <xf numFmtId="49" fontId="6" fillId="16" borderId="5" xfId="0" applyFont="1" applyFill="1" applyBorder="1" applyAlignment="1">
      <alignment horizontal="left" vertical="top" wrapText="1"/>
    </xf>
    <xf numFmtId="0" fontId="26" fillId="0" borderId="0" xfId="0" applyNumberFormat="1" applyFont="1" applyAlignment="1">
      <alignment horizontal="center" vertical="center" wrapText="1"/>
    </xf>
    <xf numFmtId="0" fontId="6" fillId="0" borderId="17" xfId="0" applyNumberFormat="1" applyFont="1" applyBorder="1" applyAlignment="1">
      <alignment vertical="top" wrapText="1"/>
    </xf>
    <xf numFmtId="0" fontId="6" fillId="0" borderId="0" xfId="0" applyNumberFormat="1" applyFont="1" applyAlignment="1">
      <alignment horizontal="left" vertical="center" wrapText="1"/>
    </xf>
    <xf numFmtId="0" fontId="6" fillId="10" borderId="13" xfId="0" applyNumberFormat="1" applyFont="1" applyFill="1" applyBorder="1" applyAlignment="1">
      <alignment horizontal="center" vertical="center" wrapText="1"/>
    </xf>
    <xf numFmtId="0" fontId="6" fillId="10" borderId="22" xfId="0" applyNumberFormat="1" applyFont="1" applyFill="1" applyBorder="1" applyAlignment="1">
      <alignment horizontal="center" vertical="center" wrapText="1"/>
    </xf>
    <xf numFmtId="0" fontId="6" fillId="0" borderId="53" xfId="0" applyNumberFormat="1" applyFont="1" applyBorder="1" applyAlignment="1">
      <alignment horizontal="center" vertical="center"/>
    </xf>
    <xf numFmtId="0" fontId="6" fillId="0" borderId="54" xfId="0" applyNumberFormat="1" applyFont="1" applyBorder="1" applyAlignment="1">
      <alignment horizontal="center" vertical="center"/>
    </xf>
    <xf numFmtId="0" fontId="6" fillId="0" borderId="56" xfId="0" applyNumberFormat="1" applyFont="1" applyBorder="1" applyAlignment="1">
      <alignment horizontal="center" vertical="center"/>
    </xf>
    <xf numFmtId="49" fontId="6" fillId="16" borderId="7" xfId="0" applyFont="1" applyFill="1" applyBorder="1" applyAlignment="1">
      <alignment horizontal="center" vertical="center" wrapText="1"/>
    </xf>
    <xf numFmtId="49" fontId="30" fillId="13" borderId="44" xfId="0" applyFont="1" applyFill="1" applyBorder="1" applyAlignment="1">
      <alignment horizontal="left" vertical="center" indent="1"/>
    </xf>
    <xf numFmtId="49" fontId="6" fillId="11" borderId="5" xfId="0" applyFont="1" applyFill="1" applyBorder="1" applyAlignment="1">
      <alignment horizontal="center" vertical="center" wrapText="1"/>
    </xf>
    <xf numFmtId="49" fontId="0" fillId="11" borderId="29" xfId="0" applyFill="1" applyBorder="1">
      <alignment vertical="top"/>
    </xf>
    <xf numFmtId="49" fontId="6" fillId="11" borderId="67" xfId="0" applyFont="1" applyFill="1" applyBorder="1" applyAlignment="1">
      <alignment horizontal="center" vertical="center" wrapText="1"/>
    </xf>
    <xf numFmtId="3" fontId="6" fillId="15" borderId="5" xfId="0" applyNumberFormat="1" applyFont="1" applyFill="1" applyBorder="1" applyAlignment="1" applyProtection="1">
      <alignment horizontal="center" vertical="center" wrapText="1"/>
      <protection locked="0"/>
    </xf>
    <xf numFmtId="49" fontId="6" fillId="11" borderId="5" xfId="0" applyFont="1" applyFill="1" applyBorder="1" applyAlignment="1">
      <alignment horizontal="left" vertical="center" wrapText="1"/>
    </xf>
    <xf numFmtId="49" fontId="6" fillId="0" borderId="6" xfId="0" applyFont="1" applyBorder="1" applyAlignment="1">
      <alignment horizontal="center" vertical="center" wrapText="1"/>
    </xf>
    <xf numFmtId="49" fontId="6" fillId="16" borderId="6" xfId="0" applyFont="1" applyFill="1" applyBorder="1" applyAlignment="1">
      <alignment horizontal="left" vertical="center" wrapText="1"/>
    </xf>
    <xf numFmtId="49" fontId="6" fillId="16" borderId="5" xfId="0" applyFont="1" applyFill="1" applyBorder="1" applyAlignment="1">
      <alignment horizontal="left" vertical="center" wrapText="1"/>
    </xf>
    <xf numFmtId="49" fontId="6" fillId="15" borderId="5" xfId="0" applyFont="1" applyFill="1" applyBorder="1" applyAlignment="1" applyProtection="1">
      <alignment horizontal="left" vertical="center" wrapText="1"/>
      <protection locked="0"/>
    </xf>
    <xf numFmtId="49" fontId="110" fillId="0" borderId="6" xfId="0" applyFont="1" applyBorder="1" applyAlignment="1">
      <alignment horizontal="center" vertical="center" wrapText="1"/>
    </xf>
    <xf numFmtId="0" fontId="35" fillId="0" borderId="5" xfId="0" applyNumberFormat="1" applyFont="1" applyBorder="1" applyAlignment="1">
      <alignment horizontal="center" vertical="center"/>
    </xf>
    <xf numFmtId="49" fontId="6" fillId="16" borderId="10" xfId="0" applyFont="1" applyFill="1" applyBorder="1" applyAlignment="1">
      <alignment horizontal="left" vertical="center" wrapText="1" indent="1"/>
    </xf>
    <xf numFmtId="49" fontId="6" fillId="16" borderId="29" xfId="0" applyFont="1" applyFill="1" applyBorder="1" applyAlignment="1">
      <alignment horizontal="left" vertical="center" wrapText="1" indent="1"/>
    </xf>
    <xf numFmtId="49" fontId="6" fillId="16" borderId="16" xfId="0" applyFont="1" applyFill="1" applyBorder="1" applyAlignment="1">
      <alignment horizontal="left" vertical="center" wrapText="1" indent="1"/>
    </xf>
    <xf numFmtId="14" fontId="6" fillId="16" borderId="29" xfId="0" applyNumberFormat="1" applyFont="1" applyFill="1" applyBorder="1" applyAlignment="1">
      <alignment horizontal="left" vertical="center" wrapText="1" indent="1"/>
    </xf>
    <xf numFmtId="14" fontId="6" fillId="16" borderId="15" xfId="0" applyNumberFormat="1" applyFont="1" applyFill="1" applyBorder="1" applyAlignment="1">
      <alignment horizontal="left" vertical="center" wrapText="1" indent="1"/>
    </xf>
    <xf numFmtId="49" fontId="0" fillId="0" borderId="29" xfId="0" applyBorder="1">
      <alignment vertical="top"/>
    </xf>
    <xf numFmtId="49" fontId="0" fillId="15" borderId="29" xfId="0" applyFill="1" applyBorder="1" applyProtection="1">
      <alignment vertical="top"/>
      <protection locked="0"/>
    </xf>
    <xf numFmtId="49" fontId="110" fillId="0" borderId="5" xfId="0" applyFont="1" applyBorder="1" applyAlignment="1">
      <alignment horizontal="center" vertical="center" wrapText="1"/>
    </xf>
    <xf numFmtId="0" fontId="35" fillId="0" borderId="6" xfId="0" applyNumberFormat="1" applyFont="1" applyBorder="1" applyAlignment="1">
      <alignment horizontal="center" vertical="center"/>
    </xf>
    <xf numFmtId="0" fontId="6" fillId="0" borderId="66" xfId="0" applyNumberFormat="1" applyFont="1" applyBorder="1" applyAlignment="1">
      <alignment horizontal="center" vertical="center"/>
    </xf>
    <xf numFmtId="0" fontId="6" fillId="0" borderId="36" xfId="0" applyNumberFormat="1" applyFont="1" applyBorder="1" applyAlignment="1">
      <alignment horizontal="center" vertical="center"/>
    </xf>
    <xf numFmtId="49" fontId="0" fillId="0" borderId="5" xfId="0" applyBorder="1" applyAlignment="1">
      <alignment vertical="center" wrapText="1"/>
    </xf>
    <xf numFmtId="49" fontId="0" fillId="0" borderId="5" xfId="0" applyBorder="1" applyAlignment="1">
      <alignment horizontal="left" vertical="center" wrapText="1"/>
    </xf>
    <xf numFmtId="49" fontId="0" fillId="0" borderId="10" xfId="0" applyBorder="1" applyAlignment="1">
      <alignment horizontal="center" vertical="center" wrapText="1"/>
    </xf>
    <xf numFmtId="49" fontId="0" fillId="0" borderId="29" xfId="0" applyBorder="1" applyAlignment="1">
      <alignment horizontal="center" vertical="center" wrapText="1"/>
    </xf>
    <xf numFmtId="49" fontId="0" fillId="0" borderId="16" xfId="0" applyBorder="1" applyAlignment="1">
      <alignment horizontal="center" vertical="center" wrapText="1"/>
    </xf>
    <xf numFmtId="0" fontId="0" fillId="11" borderId="5" xfId="0" applyNumberFormat="1" applyFill="1" applyBorder="1" applyAlignment="1">
      <alignment horizontal="center" vertical="center" wrapText="1"/>
    </xf>
    <xf numFmtId="49" fontId="0" fillId="0" borderId="5" xfId="0" applyBorder="1" applyAlignment="1">
      <alignment horizontal="center" vertical="center"/>
    </xf>
    <xf numFmtId="49" fontId="6" fillId="0" borderId="8" xfId="0" applyFont="1" applyBorder="1" applyAlignment="1">
      <alignment horizontal="center" vertical="center" wrapText="1"/>
    </xf>
    <xf numFmtId="0" fontId="6" fillId="0" borderId="13" xfId="0" applyNumberFormat="1" applyFont="1" applyBorder="1" applyAlignment="1">
      <alignment horizontal="left" vertical="top" wrapText="1"/>
    </xf>
    <xf numFmtId="0" fontId="6" fillId="10" borderId="7" xfId="0" applyNumberFormat="1" applyFont="1" applyFill="1" applyBorder="1" applyAlignment="1">
      <alignment horizontal="center" vertical="center" wrapText="1"/>
    </xf>
    <xf numFmtId="0" fontId="6" fillId="10" borderId="8" xfId="0" applyNumberFormat="1" applyFont="1" applyFill="1" applyBorder="1" applyAlignment="1">
      <alignment horizontal="center" vertical="center" wrapText="1"/>
    </xf>
    <xf numFmtId="0" fontId="6" fillId="10" borderId="6" xfId="0" applyNumberFormat="1" applyFont="1" applyFill="1" applyBorder="1" applyAlignment="1">
      <alignment horizontal="center" vertical="center" wrapText="1"/>
    </xf>
    <xf numFmtId="0" fontId="6" fillId="7" borderId="5" xfId="0" applyNumberFormat="1" applyFont="1" applyFill="1" applyBorder="1" applyAlignment="1">
      <alignment horizontal="center" vertical="center" wrapText="1"/>
    </xf>
    <xf numFmtId="0" fontId="6" fillId="7" borderId="6" xfId="0" applyNumberFormat="1" applyFont="1" applyFill="1" applyBorder="1" applyAlignment="1">
      <alignment horizontal="center" vertical="center" wrapText="1"/>
    </xf>
    <xf numFmtId="49" fontId="6" fillId="7" borderId="5" xfId="0" applyFont="1" applyFill="1" applyBorder="1" applyAlignment="1">
      <alignment horizontal="center" vertical="center" wrapText="1"/>
    </xf>
    <xf numFmtId="49" fontId="36" fillId="22" borderId="7" xfId="0" applyFont="1" applyFill="1" applyBorder="1" applyAlignment="1">
      <alignment horizontal="center" vertical="center" wrapText="1"/>
    </xf>
    <xf numFmtId="49" fontId="36" fillId="22" borderId="8" xfId="0" applyFont="1" applyFill="1" applyBorder="1" applyAlignment="1">
      <alignment horizontal="center" vertical="center" wrapText="1"/>
    </xf>
    <xf numFmtId="49" fontId="36" fillId="22" borderId="6" xfId="0" applyFont="1" applyFill="1" applyBorder="1" applyAlignment="1">
      <alignment horizontal="center" vertical="center" wrapText="1"/>
    </xf>
    <xf numFmtId="49" fontId="36" fillId="25" borderId="7" xfId="0" applyFont="1" applyFill="1" applyBorder="1" applyAlignment="1">
      <alignment horizontal="center" vertical="center" wrapText="1"/>
    </xf>
    <xf numFmtId="49" fontId="36" fillId="25" borderId="8" xfId="0" applyFont="1" applyFill="1" applyBorder="1" applyAlignment="1">
      <alignment horizontal="center" vertical="center" wrapText="1"/>
    </xf>
    <xf numFmtId="49" fontId="36" fillId="25" borderId="6" xfId="0" applyFont="1" applyFill="1" applyBorder="1" applyAlignment="1">
      <alignment horizontal="center" vertical="center" wrapText="1"/>
    </xf>
    <xf numFmtId="49" fontId="6" fillId="26" borderId="7" xfId="0" applyFont="1" applyFill="1" applyBorder="1" applyAlignment="1">
      <alignment horizontal="center" vertical="center" wrapText="1"/>
    </xf>
    <xf numFmtId="49" fontId="6" fillId="26" borderId="8" xfId="0" applyFont="1" applyFill="1" applyBorder="1" applyAlignment="1">
      <alignment horizontal="center" vertical="center" wrapText="1"/>
    </xf>
    <xf numFmtId="49" fontId="6" fillId="7" borderId="12" xfId="0" applyFont="1" applyFill="1" applyBorder="1" applyAlignment="1">
      <alignment horizontal="center" vertical="center" wrapText="1"/>
    </xf>
    <xf numFmtId="49" fontId="6" fillId="7" borderId="0" xfId="0" applyFont="1" applyFill="1" applyAlignment="1">
      <alignment horizontal="center" vertical="center" wrapText="1"/>
    </xf>
    <xf numFmtId="49" fontId="6" fillId="7" borderId="20" xfId="0" applyFont="1" applyFill="1" applyBorder="1" applyAlignment="1">
      <alignment horizontal="center" vertical="center" wrapText="1"/>
    </xf>
    <xf numFmtId="0" fontId="6" fillId="24" borderId="7" xfId="0" applyNumberFormat="1" applyFont="1" applyFill="1" applyBorder="1" applyAlignment="1">
      <alignment horizontal="center" vertical="center" wrapText="1"/>
    </xf>
    <xf numFmtId="0" fontId="6" fillId="24" borderId="8" xfId="0" applyNumberFormat="1" applyFont="1" applyFill="1" applyBorder="1" applyAlignment="1">
      <alignment horizontal="center" vertical="center" wrapText="1"/>
    </xf>
    <xf numFmtId="0" fontId="6" fillId="24" borderId="6" xfId="0" applyNumberFormat="1" applyFont="1" applyFill="1" applyBorder="1" applyAlignment="1">
      <alignment horizontal="center" vertical="center" wrapText="1"/>
    </xf>
    <xf numFmtId="0" fontId="6" fillId="7" borderId="7"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xf>
    <xf numFmtId="0" fontId="0" fillId="0" borderId="5" xfId="0" applyNumberFormat="1" applyBorder="1" applyAlignment="1">
      <alignment horizontal="left" vertical="center" wrapText="1"/>
    </xf>
    <xf numFmtId="0" fontId="29" fillId="10" borderId="17" xfId="0" applyNumberFormat="1" applyFont="1" applyFill="1" applyBorder="1" applyAlignment="1">
      <alignment horizontal="center" vertical="top" wrapText="1"/>
    </xf>
    <xf numFmtId="49" fontId="0" fillId="10" borderId="16" xfId="0" applyFill="1" applyBorder="1" applyAlignment="1">
      <alignment horizontal="center" vertical="center" wrapText="1"/>
    </xf>
    <xf numFmtId="0" fontId="0" fillId="11" borderId="16" xfId="0" applyNumberFormat="1" applyFill="1" applyBorder="1" applyAlignment="1">
      <alignment horizontal="left" vertical="center" wrapText="1" indent="1"/>
    </xf>
    <xf numFmtId="0" fontId="6" fillId="0" borderId="8" xfId="0" applyNumberFormat="1" applyFont="1" applyBorder="1" applyAlignment="1">
      <alignment horizontal="left" vertical="top" wrapText="1" indent="1"/>
    </xf>
    <xf numFmtId="0" fontId="29" fillId="10" borderId="0" xfId="0" applyNumberFormat="1" applyFont="1" applyFill="1" applyAlignment="1">
      <alignment horizontal="center" vertical="top" wrapText="1"/>
    </xf>
    <xf numFmtId="49" fontId="26" fillId="10" borderId="12" xfId="0" applyFont="1" applyFill="1" applyBorder="1" applyAlignment="1">
      <alignment horizontal="center" vertical="center" wrapText="1"/>
    </xf>
    <xf numFmtId="0" fontId="0" fillId="0" borderId="10" xfId="0" applyNumberFormat="1" applyBorder="1" applyAlignment="1">
      <alignment horizontal="left" vertical="center" wrapText="1"/>
    </xf>
    <xf numFmtId="0" fontId="0" fillId="11" borderId="7" xfId="0" applyNumberFormat="1" applyFill="1" applyBorder="1" applyAlignment="1">
      <alignment horizontal="left" vertical="center" wrapText="1" indent="1"/>
    </xf>
    <xf numFmtId="0" fontId="0" fillId="10" borderId="10" xfId="0" applyNumberFormat="1" applyFill="1" applyBorder="1" applyAlignment="1">
      <alignment horizontal="left" vertical="top" wrapText="1"/>
    </xf>
    <xf numFmtId="0" fontId="0" fillId="10" borderId="29" xfId="0" applyNumberFormat="1" applyFill="1" applyBorder="1" applyAlignment="1">
      <alignment horizontal="left" vertical="top" wrapText="1"/>
    </xf>
    <xf numFmtId="0" fontId="0" fillId="10" borderId="16" xfId="0" applyNumberFormat="1" applyFill="1" applyBorder="1" applyAlignment="1">
      <alignment horizontal="left" vertical="top" wrapText="1"/>
    </xf>
    <xf numFmtId="4" fontId="6" fillId="0" borderId="10" xfId="0" applyNumberFormat="1" applyFont="1" applyBorder="1" applyAlignment="1">
      <alignment horizontal="center" vertical="center" wrapText="1"/>
    </xf>
    <xf numFmtId="4" fontId="6" fillId="0" borderId="16" xfId="0" applyNumberFormat="1" applyFont="1" applyBorder="1" applyAlignment="1">
      <alignment horizontal="center" vertical="center" wrapText="1"/>
    </xf>
    <xf numFmtId="4" fontId="6" fillId="0" borderId="29" xfId="0" applyNumberFormat="1" applyFont="1" applyBorder="1" applyAlignment="1">
      <alignment horizontal="center" vertical="center" wrapText="1"/>
    </xf>
    <xf numFmtId="0" fontId="6" fillId="0" borderId="22" xfId="0" applyNumberFormat="1" applyFont="1" applyBorder="1" applyAlignment="1">
      <alignment horizontal="left" vertical="top" wrapText="1"/>
    </xf>
    <xf numFmtId="167" fontId="6" fillId="0" borderId="10" xfId="0" applyNumberFormat="1" applyFont="1" applyBorder="1" applyAlignment="1">
      <alignment horizontal="center" vertical="center" wrapText="1"/>
    </xf>
    <xf numFmtId="167" fontId="6" fillId="0" borderId="16" xfId="0" applyNumberFormat="1" applyFont="1" applyBorder="1" applyAlignment="1">
      <alignment horizontal="center" vertical="center" wrapText="1"/>
    </xf>
    <xf numFmtId="167" fontId="6" fillId="0" borderId="7" xfId="0" applyNumberFormat="1" applyFont="1" applyBorder="1" applyAlignment="1">
      <alignment horizontal="center" vertical="center" wrapText="1"/>
    </xf>
    <xf numFmtId="167" fontId="6" fillId="0" borderId="8" xfId="0" applyNumberFormat="1" applyFont="1" applyBorder="1" applyAlignment="1">
      <alignment horizontal="center" vertical="center" wrapText="1"/>
    </xf>
    <xf numFmtId="167" fontId="6" fillId="0" borderId="6" xfId="0" applyNumberFormat="1" applyFont="1" applyBorder="1" applyAlignment="1">
      <alignment horizontal="center" vertical="center" wrapText="1"/>
    </xf>
    <xf numFmtId="14" fontId="6" fillId="16" borderId="5" xfId="0" applyNumberFormat="1" applyFont="1" applyFill="1" applyBorder="1" applyAlignment="1">
      <alignment horizontal="left" vertical="center" wrapText="1"/>
    </xf>
    <xf numFmtId="49" fontId="6" fillId="16" borderId="7" xfId="0" applyFont="1" applyFill="1" applyBorder="1" applyAlignment="1">
      <alignment horizontal="left" vertical="center" wrapText="1"/>
    </xf>
    <xf numFmtId="0" fontId="6" fillId="11" borderId="22" xfId="0" applyNumberFormat="1" applyFont="1" applyFill="1" applyBorder="1" applyAlignment="1">
      <alignment horizontal="left" vertical="center" wrapText="1"/>
    </xf>
    <xf numFmtId="14" fontId="6" fillId="16" borderId="16" xfId="0" applyNumberFormat="1" applyFont="1" applyFill="1" applyBorder="1" applyAlignment="1">
      <alignment horizontal="left" vertical="center" wrapText="1"/>
    </xf>
    <xf numFmtId="49" fontId="6" fillId="0" borderId="5" xfId="0" applyFont="1" applyBorder="1" applyAlignment="1">
      <alignment horizontal="left" vertical="top" wrapText="1"/>
    </xf>
    <xf numFmtId="49" fontId="111" fillId="0" borderId="5" xfId="0" applyFont="1" applyBorder="1" applyAlignment="1">
      <alignment horizontal="left" vertical="top" wrapText="1"/>
    </xf>
    <xf numFmtId="0" fontId="6" fillId="0" borderId="8" xfId="0" applyNumberFormat="1" applyFont="1" applyBorder="1" applyAlignment="1">
      <alignment horizontal="left" vertical="center" wrapText="1"/>
    </xf>
    <xf numFmtId="167" fontId="6" fillId="0" borderId="29" xfId="0" applyNumberFormat="1" applyFont="1" applyBorder="1" applyAlignment="1">
      <alignment horizontal="center" vertical="center" wrapText="1"/>
    </xf>
    <xf numFmtId="167" fontId="6" fillId="0" borderId="5" xfId="0" applyNumberFormat="1" applyFont="1" applyBorder="1" applyAlignment="1">
      <alignment horizontal="center" vertical="center" wrapText="1"/>
    </xf>
    <xf numFmtId="167" fontId="35" fillId="0" borderId="12" xfId="0" applyNumberFormat="1" applyFont="1" applyBorder="1" applyAlignment="1">
      <alignment horizontal="center" vertical="center" wrapText="1"/>
    </xf>
    <xf numFmtId="49" fontId="6" fillId="16" borderId="23" xfId="0" applyFont="1" applyFill="1" applyBorder="1" applyAlignment="1">
      <alignment horizontal="left" vertical="center" wrapText="1"/>
    </xf>
    <xf numFmtId="49" fontId="6" fillId="16" borderId="16" xfId="0" applyFont="1" applyFill="1" applyBorder="1" applyAlignment="1">
      <alignment horizontal="left" vertical="center" wrapText="1"/>
    </xf>
    <xf numFmtId="49" fontId="6" fillId="0" borderId="0" xfId="0" applyFont="1" applyAlignment="1">
      <alignment horizontal="left" vertical="top" wrapText="1"/>
    </xf>
    <xf numFmtId="0" fontId="6" fillId="0" borderId="6" xfId="0" applyNumberFormat="1" applyFont="1" applyBorder="1" applyAlignment="1">
      <alignment horizontal="left" vertical="center" wrapText="1" indent="1"/>
    </xf>
    <xf numFmtId="0" fontId="6" fillId="0" borderId="7" xfId="0" applyNumberFormat="1" applyFont="1" applyBorder="1" applyAlignment="1">
      <alignment horizontal="left" vertical="center" wrapText="1" indent="1"/>
    </xf>
    <xf numFmtId="49" fontId="0" fillId="0" borderId="8" xfId="0" applyBorder="1" applyAlignment="1">
      <alignment horizontal="left" vertical="center" indent="1"/>
    </xf>
    <xf numFmtId="49" fontId="6" fillId="12" borderId="5" xfId="0" applyFont="1" applyFill="1" applyBorder="1" applyAlignment="1" applyProtection="1">
      <alignment horizontal="left" vertical="center" wrapText="1"/>
      <protection locked="0"/>
    </xf>
    <xf numFmtId="49" fontId="0" fillId="15" borderId="5" xfId="0" applyFill="1" applyBorder="1" applyAlignment="1" applyProtection="1">
      <alignment horizontal="left" vertical="center" wrapText="1"/>
      <protection locked="0"/>
    </xf>
    <xf numFmtId="0" fontId="0" fillId="16" borderId="5" xfId="0" applyNumberFormat="1" applyFill="1" applyBorder="1" applyAlignment="1" applyProtection="1">
      <alignment horizontal="left" vertical="center" wrapText="1"/>
      <protection locked="0"/>
    </xf>
    <xf numFmtId="49" fontId="0" fillId="16" borderId="5" xfId="0" applyFill="1" applyBorder="1" applyAlignment="1" applyProtection="1">
      <alignment horizontal="left" vertical="center" wrapText="1"/>
      <protection locked="0"/>
    </xf>
    <xf numFmtId="0" fontId="30" fillId="13" borderId="8" xfId="0" applyNumberFormat="1" applyFont="1" applyFill="1" applyBorder="1" applyAlignment="1">
      <alignment horizontal="left" vertical="center"/>
    </xf>
    <xf numFmtId="0" fontId="30" fillId="13" borderId="6" xfId="0" applyNumberFormat="1" applyFont="1" applyFill="1" applyBorder="1" applyAlignment="1">
      <alignment horizontal="left" vertical="center"/>
    </xf>
    <xf numFmtId="0" fontId="30" fillId="13" borderId="12" xfId="0" applyNumberFormat="1" applyFont="1" applyFill="1" applyBorder="1" applyAlignment="1">
      <alignment horizontal="left" vertical="center"/>
    </xf>
    <xf numFmtId="0" fontId="30" fillId="13" borderId="13" xfId="0" applyNumberFormat="1" applyFont="1" applyFill="1" applyBorder="1" applyAlignment="1">
      <alignment horizontal="left" vertical="center"/>
    </xf>
    <xf numFmtId="49" fontId="6" fillId="15" borderId="10" xfId="0" applyFont="1" applyFill="1" applyBorder="1" applyAlignment="1" applyProtection="1">
      <alignment horizontal="left" vertical="center" wrapText="1"/>
      <protection locked="0"/>
    </xf>
    <xf numFmtId="49" fontId="6" fillId="0" borderId="29" xfId="0" applyFont="1" applyBorder="1" applyAlignment="1">
      <alignment horizontal="center" vertical="center"/>
    </xf>
    <xf numFmtId="0" fontId="6" fillId="16" borderId="10" xfId="0" applyNumberFormat="1" applyFont="1" applyFill="1" applyBorder="1" applyAlignment="1">
      <alignment horizontal="left" vertical="center" wrapText="1"/>
    </xf>
    <xf numFmtId="0" fontId="6" fillId="16" borderId="29" xfId="0" applyNumberFormat="1" applyFont="1" applyFill="1" applyBorder="1" applyAlignment="1">
      <alignment horizontal="left" vertical="center" wrapText="1"/>
    </xf>
    <xf numFmtId="49" fontId="6" fillId="16" borderId="10" xfId="0" applyFont="1" applyFill="1" applyBorder="1" applyAlignment="1">
      <alignment horizontal="left" vertical="center" wrapText="1"/>
    </xf>
    <xf numFmtId="0" fontId="6" fillId="0" borderId="17" xfId="0" applyNumberFormat="1" applyFont="1" applyBorder="1" applyAlignment="1">
      <alignment horizontal="center" vertical="center"/>
    </xf>
    <xf numFmtId="49" fontId="6" fillId="12" borderId="10" xfId="0" applyFont="1" applyFill="1" applyBorder="1" applyAlignment="1" applyProtection="1">
      <alignment horizontal="left" vertical="center" wrapText="1"/>
      <protection locked="0"/>
    </xf>
    <xf numFmtId="0" fontId="0" fillId="0" borderId="5" xfId="0" applyNumberFormat="1" applyBorder="1" applyAlignment="1">
      <alignment horizontal="center" vertical="center"/>
    </xf>
    <xf numFmtId="0" fontId="6" fillId="16" borderId="5" xfId="0" applyNumberFormat="1" applyFont="1" applyFill="1" applyBorder="1" applyAlignment="1">
      <alignment horizontal="left" vertical="top" wrapText="1"/>
    </xf>
    <xf numFmtId="49" fontId="0" fillId="16" borderId="5" xfId="0" applyFill="1" applyBorder="1" applyAlignment="1">
      <alignment horizontal="left" vertical="top"/>
    </xf>
    <xf numFmtId="49" fontId="0" fillId="12" borderId="5" xfId="0" applyFill="1" applyBorder="1" applyAlignment="1" applyProtection="1">
      <alignment horizontal="left" vertical="top"/>
      <protection locked="0"/>
    </xf>
    <xf numFmtId="14" fontId="68" fillId="0" borderId="10" xfId="0" applyNumberFormat="1" applyFont="1" applyBorder="1" applyAlignment="1">
      <alignment horizontal="center" vertical="center" wrapText="1"/>
    </xf>
    <xf numFmtId="14" fontId="68" fillId="0" borderId="29" xfId="0" applyNumberFormat="1" applyFont="1" applyBorder="1" applyAlignment="1">
      <alignment horizontal="center" vertical="center" wrapText="1"/>
    </xf>
    <xf numFmtId="0" fontId="62" fillId="0" borderId="5" xfId="0" applyNumberFormat="1" applyFont="1" applyBorder="1" applyAlignment="1">
      <alignment horizontal="left" vertical="center" wrapText="1" indent="1"/>
    </xf>
    <xf numFmtId="0" fontId="62" fillId="0" borderId="5" xfId="0" applyNumberFormat="1" applyFont="1" applyBorder="1" applyAlignment="1">
      <alignment horizontal="left" vertical="top" indent="1"/>
    </xf>
    <xf numFmtId="0" fontId="26" fillId="0" borderId="5" xfId="0" applyNumberFormat="1" applyFont="1" applyBorder="1" applyAlignment="1">
      <alignment horizontal="center" vertical="center" wrapText="1"/>
    </xf>
    <xf numFmtId="0" fontId="6" fillId="16" borderId="5" xfId="0" applyNumberFormat="1" applyFont="1" applyFill="1" applyBorder="1" applyAlignment="1">
      <alignment horizontal="left" vertical="center" wrapText="1" indent="1"/>
    </xf>
    <xf numFmtId="0" fontId="0" fillId="15" borderId="5" xfId="0" applyNumberFormat="1" applyFill="1" applyBorder="1" applyAlignment="1" applyProtection="1">
      <alignment horizontal="left" vertical="center" wrapText="1"/>
      <protection locked="0"/>
    </xf>
    <xf numFmtId="49" fontId="0" fillId="15" borderId="7" xfId="0" applyFill="1" applyBorder="1" applyAlignment="1" applyProtection="1">
      <alignment horizontal="left" vertical="center" wrapText="1"/>
      <protection locked="0"/>
    </xf>
    <xf numFmtId="49" fontId="27" fillId="0" borderId="10" xfId="0" applyFont="1" applyBorder="1" applyAlignment="1">
      <alignment horizontal="center" vertical="top" wrapText="1"/>
    </xf>
    <xf numFmtId="49" fontId="6" fillId="0" borderId="29" xfId="0" applyFont="1" applyBorder="1" applyAlignment="1">
      <alignment horizontal="center" vertical="top" wrapText="1"/>
    </xf>
    <xf numFmtId="49" fontId="6" fillId="0" borderId="16" xfId="0" applyFont="1" applyBorder="1" applyAlignment="1">
      <alignment horizontal="center" vertical="top" wrapText="1"/>
    </xf>
    <xf numFmtId="49" fontId="6" fillId="15" borderId="7" xfId="0" applyFont="1" applyFill="1" applyBorder="1" applyAlignment="1" applyProtection="1">
      <alignment horizontal="left" vertical="center" wrapText="1" indent="1"/>
      <protection locked="0"/>
    </xf>
    <xf numFmtId="49" fontId="6" fillId="15" borderId="5" xfId="0" applyFont="1" applyFill="1" applyBorder="1" applyAlignment="1" applyProtection="1">
      <alignment horizontal="left" vertical="center" wrapText="1" indent="1"/>
      <protection locked="0"/>
    </xf>
    <xf numFmtId="49" fontId="82" fillId="0" borderId="5" xfId="0" applyFont="1" applyBorder="1" applyAlignment="1">
      <alignment horizontal="center" vertical="top" wrapText="1"/>
    </xf>
    <xf numFmtId="0" fontId="82" fillId="7" borderId="5" xfId="0" applyNumberFormat="1" applyFont="1" applyFill="1" applyBorder="1" applyAlignment="1">
      <alignment horizontal="center" vertical="center" wrapText="1"/>
    </xf>
    <xf numFmtId="49" fontId="82" fillId="0" borderId="30" xfId="0" applyFont="1" applyBorder="1" applyAlignment="1">
      <alignment horizontal="center" vertical="top" wrapText="1"/>
    </xf>
    <xf numFmtId="49" fontId="82" fillId="0" borderId="23" xfId="0" applyFont="1" applyBorder="1" applyAlignment="1">
      <alignment horizontal="center" vertical="top" wrapText="1"/>
    </xf>
    <xf numFmtId="49" fontId="82" fillId="0" borderId="7" xfId="0" applyFont="1" applyBorder="1" applyAlignment="1">
      <alignment horizontal="center" vertical="top" wrapText="1"/>
    </xf>
    <xf numFmtId="49" fontId="82" fillId="0" borderId="8" xfId="0" applyFont="1" applyBorder="1" applyAlignment="1">
      <alignment horizontal="center" vertical="top" wrapText="1"/>
    </xf>
    <xf numFmtId="49" fontId="82" fillId="0" borderId="6" xfId="0" applyFont="1" applyBorder="1" applyAlignment="1">
      <alignment horizontal="center" vertical="top" wrapText="1"/>
    </xf>
    <xf numFmtId="49" fontId="82" fillId="0" borderId="10" xfId="0" applyFont="1" applyBorder="1" applyAlignment="1">
      <alignment horizontal="center" vertical="top" wrapText="1"/>
    </xf>
    <xf numFmtId="49" fontId="82" fillId="0" borderId="29" xfId="0" applyFont="1" applyBorder="1" applyAlignment="1">
      <alignment horizontal="center" vertical="top" wrapText="1"/>
    </xf>
    <xf numFmtId="49" fontId="82" fillId="0" borderId="16" xfId="0" applyFont="1" applyBorder="1" applyAlignment="1">
      <alignment horizontal="center" vertical="top" wrapText="1"/>
    </xf>
    <xf numFmtId="0" fontId="5" fillId="0" borderId="12" xfId="0" applyNumberFormat="1" applyFont="1" applyBorder="1" applyAlignment="1">
      <alignment horizontal="left" vertical="center" wrapText="1" indent="1"/>
    </xf>
    <xf numFmtId="0" fontId="5" fillId="0" borderId="20" xfId="0" applyNumberFormat="1" applyFont="1" applyBorder="1" applyAlignment="1">
      <alignment horizontal="left" vertical="center" wrapText="1" indent="1"/>
    </xf>
    <xf numFmtId="0" fontId="6" fillId="0" borderId="0" xfId="0" applyNumberFormat="1" applyFont="1" applyAlignment="1">
      <alignment horizontal="right" vertical="center" wrapText="1"/>
    </xf>
    <xf numFmtId="4" fontId="6" fillId="11" borderId="5" xfId="0" applyNumberFormat="1" applyFont="1" applyFill="1" applyBorder="1" applyAlignment="1">
      <alignment horizontal="left" vertical="center" wrapText="1"/>
    </xf>
    <xf numFmtId="0" fontId="6" fillId="16" borderId="5" xfId="0" applyNumberFormat="1" applyFont="1" applyFill="1" applyBorder="1" applyAlignment="1" applyProtection="1">
      <alignment horizontal="left" vertical="center" wrapText="1"/>
      <protection locked="0"/>
    </xf>
    <xf numFmtId="0" fontId="6" fillId="16" borderId="7" xfId="0" applyNumberFormat="1" applyFont="1" applyFill="1" applyBorder="1" applyAlignment="1" applyProtection="1">
      <alignment horizontal="left" vertical="center" wrapText="1"/>
      <protection locked="0"/>
    </xf>
    <xf numFmtId="0" fontId="6" fillId="16" borderId="8" xfId="0" applyNumberFormat="1" applyFont="1" applyFill="1" applyBorder="1" applyAlignment="1" applyProtection="1">
      <alignment horizontal="left" vertical="center" wrapText="1"/>
      <protection locked="0"/>
    </xf>
    <xf numFmtId="0" fontId="6" fillId="16" borderId="6" xfId="0" applyNumberFormat="1" applyFont="1" applyFill="1" applyBorder="1" applyAlignment="1" applyProtection="1">
      <alignment horizontal="left" vertical="center" wrapText="1"/>
      <protection locked="0"/>
    </xf>
    <xf numFmtId="49" fontId="113" fillId="0" borderId="5" xfId="26" applyBorder="1" applyAlignment="1">
      <alignment horizontal="center" vertical="top"/>
    </xf>
    <xf numFmtId="49" fontId="113" fillId="0" borderId="7" xfId="26" applyBorder="1" applyAlignment="1">
      <alignment horizontal="center" vertical="top"/>
    </xf>
  </cellXfs>
  <cellStyles count="63">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ells 2" xfId="5" xr:uid="{00000000-0005-0000-0000-00003F000000}"/>
    <cellStyle name="currency1" xfId="6" xr:uid="{00000000-0005-0000-0000-000040000000}"/>
    <cellStyle name="Currency2" xfId="7" xr:uid="{00000000-0005-0000-0000-000041000000}"/>
    <cellStyle name="currency3" xfId="8" xr:uid="{00000000-0005-0000-0000-000042000000}"/>
    <cellStyle name="currency4" xfId="9" xr:uid="{00000000-0005-0000-0000-000043000000}"/>
    <cellStyle name="Followed Hyperlink" xfId="10" xr:uid="{00000000-0005-0000-0000-000044000000}"/>
    <cellStyle name="Header 3" xfId="11" xr:uid="{00000000-0005-0000-0000-000045000000}"/>
    <cellStyle name="normal" xfId="1" xr:uid="{00000000-0005-0000-0000-000029000000}"/>
    <cellStyle name="Normal1" xfId="12" xr:uid="{00000000-0005-0000-0000-000047000000}"/>
    <cellStyle name="Normal2" xfId="7" xr:uid="{00000000-0005-0000-0000-000048000000}"/>
    <cellStyle name="Percent1" xfId="7" xr:uid="{00000000-0005-0000-0000-000049000000}"/>
    <cellStyle name="Title 4" xfId="13" xr:uid="{00000000-0005-0000-0000-00004A000000}"/>
    <cellStyle name="Ввод  2" xfId="14" xr:uid="{00000000-0005-0000-0000-00004B000000}"/>
    <cellStyle name="Гиперссылка 2" xfId="15" xr:uid="{00000000-0005-0000-0000-00004C000000}"/>
    <cellStyle name="Гиперссылка 2 2" xfId="16" xr:uid="{00000000-0005-0000-0000-00004D000000}"/>
    <cellStyle name="Гиперссылка 3" xfId="17" xr:uid="{00000000-0005-0000-0000-00004E000000}"/>
    <cellStyle name="Гиперссылка 4" xfId="18" xr:uid="{00000000-0005-0000-0000-00004F000000}"/>
    <cellStyle name="Гиперссылка 5" xfId="19" xr:uid="{00000000-0005-0000-0000-000050000000}"/>
    <cellStyle name="Заголовок" xfId="20" xr:uid="{00000000-0005-0000-0000-000051000000}"/>
    <cellStyle name="ЗаголовокСтолбца" xfId="21" xr:uid="{00000000-0005-0000-0000-000052000000}"/>
    <cellStyle name="Значение" xfId="22" xr:uid="{00000000-0005-0000-0000-000053000000}"/>
    <cellStyle name="Обычный" xfId="0" builtinId="0"/>
    <cellStyle name="Обычный 10" xfId="23" xr:uid="{00000000-0005-0000-0000-000054000000}"/>
    <cellStyle name="Обычный 12" xfId="24" xr:uid="{00000000-0005-0000-0000-000055000000}"/>
    <cellStyle name="Обычный 12 2" xfId="25" xr:uid="{00000000-0005-0000-0000-000056000000}"/>
    <cellStyle name="Обычный 14" xfId="24" xr:uid="{00000000-0005-0000-0000-000057000000}"/>
    <cellStyle name="Обычный 14 2" xfId="24" xr:uid="{00000000-0005-0000-0000-000058000000}"/>
    <cellStyle name="Обычный 14 3" xfId="24" xr:uid="{00000000-0005-0000-0000-000059000000}"/>
    <cellStyle name="Обычный 14 4" xfId="24" xr:uid="{00000000-0005-0000-0000-00005A000000}"/>
    <cellStyle name="Обычный 15" xfId="24" xr:uid="{00000000-0005-0000-0000-00005B000000}"/>
    <cellStyle name="Обычный 2" xfId="26" xr:uid="{00000000-0005-0000-0000-00005C000000}"/>
    <cellStyle name="Обычный 2 10 2" xfId="27" xr:uid="{00000000-0005-0000-0000-00005D000000}"/>
    <cellStyle name="Обычный 2 2" xfId="28" xr:uid="{00000000-0005-0000-0000-00005E000000}"/>
    <cellStyle name="Обычный 2 3" xfId="25" xr:uid="{00000000-0005-0000-0000-00005F000000}"/>
    <cellStyle name="Обычный 2 4" xfId="29" xr:uid="{00000000-0005-0000-0000-000060000000}"/>
    <cellStyle name="Обычный 2 5" xfId="27" xr:uid="{00000000-0005-0000-0000-000061000000}"/>
    <cellStyle name="Обычный 20" xfId="30" xr:uid="{00000000-0005-0000-0000-000062000000}"/>
    <cellStyle name="Обычный 21" xfId="30" xr:uid="{00000000-0005-0000-0000-000063000000}"/>
    <cellStyle name="Обычный 22" xfId="30" xr:uid="{00000000-0005-0000-0000-000064000000}"/>
    <cellStyle name="Обычный 23" xfId="30" xr:uid="{00000000-0005-0000-0000-000065000000}"/>
    <cellStyle name="Обычный 3" xfId="23" xr:uid="{00000000-0005-0000-0000-000066000000}"/>
    <cellStyle name="Обычный 3 2" xfId="29" xr:uid="{00000000-0005-0000-0000-000067000000}"/>
    <cellStyle name="Обычный 3 3" xfId="31" xr:uid="{00000000-0005-0000-0000-000068000000}"/>
    <cellStyle name="Обычный 3 4" xfId="27" xr:uid="{00000000-0005-0000-0000-000069000000}"/>
    <cellStyle name="Обычный 4" xfId="32" xr:uid="{00000000-0005-0000-0000-00006A000000}"/>
    <cellStyle name="Обычный 5" xfId="29" xr:uid="{00000000-0005-0000-0000-00006B000000}"/>
    <cellStyle name="Обычный 6" xfId="29" xr:uid="{00000000-0005-0000-0000-00006C000000}"/>
    <cellStyle name="Обычный 7" xfId="24" xr:uid="{00000000-0005-0000-0000-00006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Soloveyv@hhc.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2" Type="http://schemas.openxmlformats.org/officeDocument/2006/relationships/hyperlink" Target="https://portal.eias.ru/Portal/DownloadPage.aspx?type=12&amp;guid=80003324-ee13-4fbb-be40-f9a96645c881" TargetMode="External"/><Relationship Id="rId1" Type="http://schemas.openxmlformats.org/officeDocument/2006/relationships/hyperlink" Target="https://portal.eias.ru/Portal/DownloadPage.aspx?type=12&amp;guid=80003324-ee13-4fbb-be40-f9a96645c881" TargetMode="External"/></Relationships>
</file>

<file path=xl/worksheets/_rels/sheet37.xml.rels><?xml version="1.0" encoding="UTF-8" standalone="yes"?>
<Relationships xmlns="http://schemas.openxmlformats.org/package/2006/relationships"><Relationship Id="rId2" Type="http://schemas.openxmlformats.org/officeDocument/2006/relationships/hyperlink" Target="file:///C:\Users\mgubkina\AppData\Local\Temp\MicrosoftEdgeDownloads\d512d2e0-6266-45b3-8ed1-9a688fa96401\'&#1055;&#1086;&#1082;&#1072;&#1079;&#1072;&#1090;&#1077;&#1083;&#1080;%20&#1050;&#1053;&#1069;'!$L$13" TargetMode="External"/><Relationship Id="rId1" Type="http://schemas.openxmlformats.org/officeDocument/2006/relationships/hyperlink" Target="file:///C:\Users\mgubkina\AppData\Local\Temp\MicrosoftEdgeDownloads\d512d2e0-6266-45b3-8ed1-9a688fa96401\'&#1055;&#1086;&#1082;&#1072;&#1079;&#1072;&#1090;&#1077;&#1083;&#1080;%20&#1050;&#1053;&#1069;'!$J$13" TargetMode="Externa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3BFF9-20A2-C3C1-FA6B-6FD13B2084E8}">
  <dimension ref="A1:AB21"/>
  <sheetViews>
    <sheetView showGridLines="0" showRowColHeaders="0" workbookViewId="0"/>
  </sheetViews>
  <sheetFormatPr defaultColWidth="11" defaultRowHeight="12.75" customHeight="1"/>
  <cols>
    <col min="1" max="1" width="5.42578125" style="4" customWidth="1"/>
    <col min="2" max="2" width="9.140625" style="4" customWidth="1"/>
    <col min="3" max="3" width="16.42578125" style="4" customWidth="1"/>
    <col min="4" max="25" width="6.28515625" style="4" customWidth="1"/>
    <col min="26" max="28" width="11" style="4"/>
  </cols>
  <sheetData>
    <row r="1" spans="1:28" ht="15.75" customHeight="1">
      <c r="A1" s="900"/>
      <c r="B1" s="901"/>
      <c r="C1" s="901"/>
      <c r="D1" s="901"/>
      <c r="E1" s="901"/>
      <c r="F1" s="901"/>
      <c r="G1" s="901"/>
      <c r="H1" s="901"/>
      <c r="I1" s="901"/>
      <c r="J1" s="901"/>
      <c r="K1" s="901"/>
      <c r="L1" s="901"/>
      <c r="M1" s="901"/>
      <c r="N1" s="901"/>
      <c r="O1" s="901"/>
      <c r="P1" s="901"/>
      <c r="Q1" s="901"/>
      <c r="R1" s="901"/>
      <c r="S1" s="901"/>
      <c r="T1" s="901"/>
      <c r="U1" s="901"/>
      <c r="V1" s="901"/>
      <c r="W1" s="901"/>
      <c r="X1" s="901"/>
      <c r="Y1" s="902"/>
      <c r="Z1" s="901"/>
      <c r="AA1" s="903" t="s">
        <v>0</v>
      </c>
      <c r="AB1" s="901"/>
    </row>
    <row r="2" spans="1:28" ht="17.25" customHeight="1">
      <c r="A2" s="901"/>
      <c r="B2" s="1098" t="s">
        <v>1</v>
      </c>
      <c r="C2" s="1098"/>
      <c r="D2" s="1098"/>
      <c r="E2" s="1098"/>
      <c r="F2" s="1098"/>
      <c r="G2" s="1098"/>
      <c r="H2" s="1098"/>
      <c r="I2" s="1098"/>
      <c r="J2" s="1098"/>
      <c r="K2" s="1098"/>
      <c r="L2" s="1098"/>
      <c r="M2" s="1098"/>
      <c r="N2" s="1098"/>
      <c r="O2" s="1098"/>
      <c r="P2" s="1098"/>
      <c r="Q2" s="904"/>
      <c r="R2" s="904"/>
      <c r="S2" s="904"/>
      <c r="T2" s="904"/>
      <c r="U2" s="904"/>
      <c r="V2" s="905"/>
      <c r="W2" s="904"/>
      <c r="X2" s="904"/>
      <c r="Y2" s="902"/>
      <c r="Z2" s="901"/>
      <c r="AA2" s="903"/>
      <c r="AB2" s="901"/>
    </row>
    <row r="3" spans="1:28" ht="15.75" customHeight="1">
      <c r="A3" s="901"/>
      <c r="B3" s="1099" t="s">
        <v>2</v>
      </c>
      <c r="C3" s="1099"/>
      <c r="D3" s="1099"/>
      <c r="E3" s="1099"/>
      <c r="F3" s="1099"/>
      <c r="G3" s="1099"/>
      <c r="H3" s="1099"/>
      <c r="I3" s="1099"/>
      <c r="J3" s="1099"/>
      <c r="K3" s="1099"/>
      <c r="L3" s="1099"/>
      <c r="M3" s="1099"/>
      <c r="N3" s="1099"/>
      <c r="O3" s="1099"/>
      <c r="P3" s="1099"/>
      <c r="Q3" s="905"/>
      <c r="R3" s="905"/>
      <c r="S3" s="904"/>
      <c r="T3" s="904"/>
      <c r="U3" s="904"/>
      <c r="V3" s="905"/>
      <c r="W3" s="905"/>
      <c r="X3" s="905"/>
      <c r="Y3" s="905"/>
      <c r="Z3" s="901"/>
      <c r="AA3" s="903"/>
      <c r="AB3" s="901"/>
    </row>
    <row r="4" spans="1:28" ht="17.25" customHeight="1">
      <c r="A4" s="901"/>
      <c r="B4" s="906"/>
      <c r="C4" s="901"/>
      <c r="D4" s="905"/>
      <c r="E4" s="905"/>
      <c r="F4" s="905"/>
      <c r="G4" s="905"/>
      <c r="H4" s="905"/>
      <c r="I4" s="905"/>
      <c r="J4" s="905"/>
      <c r="K4" s="905"/>
      <c r="L4" s="905"/>
      <c r="M4" s="905"/>
      <c r="N4" s="905"/>
      <c r="O4" s="905"/>
      <c r="P4" s="905"/>
      <c r="Q4" s="905"/>
      <c r="R4" s="905"/>
      <c r="S4" s="905"/>
      <c r="T4" s="905"/>
      <c r="U4" s="905"/>
      <c r="V4" s="905"/>
      <c r="W4" s="905"/>
      <c r="X4" s="905"/>
      <c r="Y4" s="905"/>
      <c r="Z4" s="901"/>
      <c r="AA4" s="903"/>
      <c r="AB4" s="901"/>
    </row>
    <row r="5" spans="1:28" ht="22.5" customHeight="1">
      <c r="A5" s="907"/>
      <c r="B5" s="110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101"/>
      <c r="D5" s="1101"/>
      <c r="E5" s="1101"/>
      <c r="F5" s="1101"/>
      <c r="G5" s="1101"/>
      <c r="H5" s="1101"/>
      <c r="I5" s="1101"/>
      <c r="J5" s="1101"/>
      <c r="K5" s="1101"/>
      <c r="L5" s="1101"/>
      <c r="M5" s="1101"/>
      <c r="N5" s="1101"/>
      <c r="O5" s="1101"/>
      <c r="P5" s="1101"/>
      <c r="Q5" s="1101"/>
      <c r="R5" s="1101"/>
      <c r="S5" s="1101"/>
      <c r="T5" s="1101"/>
      <c r="U5" s="1101"/>
      <c r="V5" s="1101"/>
      <c r="W5" s="1101"/>
      <c r="X5" s="1101"/>
      <c r="Y5" s="1102"/>
      <c r="Z5" s="907"/>
      <c r="AA5" s="903"/>
      <c r="AB5" s="907"/>
    </row>
    <row r="6" spans="1:28" ht="15" customHeight="1">
      <c r="A6" s="908"/>
      <c r="B6" s="1103" t="s">
        <v>3</v>
      </c>
      <c r="C6" s="1104"/>
      <c r="D6" s="909"/>
      <c r="E6" s="909"/>
      <c r="F6" s="909"/>
      <c r="G6" s="909"/>
      <c r="H6" s="909"/>
      <c r="I6" s="909"/>
      <c r="J6" s="909"/>
      <c r="K6" s="909"/>
      <c r="L6" s="909"/>
      <c r="M6" s="909"/>
      <c r="N6" s="909"/>
      <c r="O6" s="909"/>
      <c r="P6" s="909"/>
      <c r="Q6" s="909"/>
      <c r="R6" s="909"/>
      <c r="S6" s="909"/>
      <c r="T6" s="909"/>
      <c r="U6" s="909"/>
      <c r="V6" s="909"/>
      <c r="W6" s="909"/>
      <c r="X6" s="909"/>
      <c r="Y6" s="910"/>
      <c r="Z6" s="911"/>
      <c r="AA6" s="912"/>
      <c r="AB6" s="912"/>
    </row>
    <row r="7" spans="1:28" ht="15" customHeight="1">
      <c r="A7" s="908"/>
      <c r="B7" s="1103"/>
      <c r="C7" s="1104"/>
      <c r="D7" s="909"/>
      <c r="E7" s="909"/>
      <c r="F7" s="913"/>
      <c r="G7" s="913"/>
      <c r="H7" s="913"/>
      <c r="I7" s="913"/>
      <c r="J7" s="913"/>
      <c r="K7" s="913"/>
      <c r="L7" s="913"/>
      <c r="M7" s="913"/>
      <c r="N7" s="913"/>
      <c r="O7" s="909"/>
      <c r="P7" s="913"/>
      <c r="Q7" s="913"/>
      <c r="R7" s="913"/>
      <c r="S7" s="913"/>
      <c r="T7" s="913"/>
      <c r="U7" s="913"/>
      <c r="V7" s="913"/>
      <c r="W7" s="913"/>
      <c r="X7" s="913"/>
      <c r="Y7" s="910"/>
      <c r="Z7" s="911"/>
      <c r="AA7" s="912"/>
      <c r="AB7" s="912"/>
    </row>
    <row r="8" spans="1:28" ht="15" customHeight="1">
      <c r="A8" s="908"/>
      <c r="B8" s="1103"/>
      <c r="C8" s="1104"/>
      <c r="D8" s="914"/>
      <c r="E8" s="915" t="s">
        <v>4</v>
      </c>
      <c r="F8" s="1106" t="s">
        <v>5</v>
      </c>
      <c r="G8" s="1107"/>
      <c r="H8" s="1107"/>
      <c r="I8" s="1107"/>
      <c r="J8" s="1107"/>
      <c r="K8" s="1107"/>
      <c r="L8" s="1107"/>
      <c r="M8" s="1107"/>
      <c r="N8" s="914"/>
      <c r="O8" s="916" t="s">
        <v>4</v>
      </c>
      <c r="P8" s="1108" t="s">
        <v>6</v>
      </c>
      <c r="Q8" s="1109"/>
      <c r="R8" s="1109"/>
      <c r="S8" s="1109"/>
      <c r="T8" s="1109"/>
      <c r="U8" s="1109"/>
      <c r="V8" s="1109"/>
      <c r="W8" s="1109"/>
      <c r="X8" s="1109"/>
      <c r="Y8" s="910"/>
      <c r="Z8" s="911"/>
      <c r="AA8" s="912"/>
      <c r="AB8" s="912"/>
    </row>
    <row r="9" spans="1:28" ht="15" customHeight="1">
      <c r="A9" s="908"/>
      <c r="B9" s="1103"/>
      <c r="C9" s="1104"/>
      <c r="D9" s="914"/>
      <c r="E9" s="917" t="s">
        <v>4</v>
      </c>
      <c r="F9" s="1106" t="s">
        <v>7</v>
      </c>
      <c r="G9" s="1107"/>
      <c r="H9" s="1107"/>
      <c r="I9" s="1107"/>
      <c r="J9" s="1107"/>
      <c r="K9" s="1107"/>
      <c r="L9" s="1107"/>
      <c r="M9" s="1107"/>
      <c r="N9" s="914"/>
      <c r="O9" s="918" t="s">
        <v>4</v>
      </c>
      <c r="P9" s="1108" t="s">
        <v>8</v>
      </c>
      <c r="Q9" s="1109"/>
      <c r="R9" s="1109"/>
      <c r="S9" s="1109"/>
      <c r="T9" s="1109"/>
      <c r="U9" s="1109"/>
      <c r="V9" s="1109"/>
      <c r="W9" s="1109"/>
      <c r="X9" s="1109"/>
      <c r="Y9" s="910"/>
      <c r="Z9" s="911"/>
      <c r="AA9" s="912"/>
      <c r="AB9" s="912"/>
    </row>
    <row r="10" spans="1:28" ht="30" customHeight="1">
      <c r="A10" s="908"/>
      <c r="B10" s="1103"/>
      <c r="C10" s="1105"/>
      <c r="D10" s="919"/>
      <c r="E10" s="920"/>
      <c r="F10" s="913"/>
      <c r="G10" s="913"/>
      <c r="H10" s="913"/>
      <c r="I10" s="913"/>
      <c r="J10" s="913"/>
      <c r="K10" s="913"/>
      <c r="L10" s="913"/>
      <c r="M10" s="913"/>
      <c r="N10" s="913"/>
      <c r="O10" s="920"/>
      <c r="P10" s="913"/>
      <c r="Q10" s="913"/>
      <c r="R10" s="913"/>
      <c r="S10" s="913"/>
      <c r="T10" s="913"/>
      <c r="U10" s="913"/>
      <c r="V10" s="913"/>
      <c r="W10" s="913"/>
      <c r="X10" s="913"/>
      <c r="Y10" s="910"/>
      <c r="Z10" s="911"/>
      <c r="AA10" s="912"/>
      <c r="AB10" s="912"/>
    </row>
    <row r="11" spans="1:28" ht="19.5" customHeight="1">
      <c r="A11" s="908"/>
      <c r="B11" s="1110" t="s">
        <v>9</v>
      </c>
      <c r="C11" s="1111"/>
      <c r="D11" s="914"/>
      <c r="E11" s="921"/>
      <c r="F11" s="921"/>
      <c r="G11" s="921"/>
      <c r="H11" s="921"/>
      <c r="I11" s="921"/>
      <c r="J11" s="921"/>
      <c r="K11" s="921"/>
      <c r="L11" s="921"/>
      <c r="M11" s="921"/>
      <c r="N11" s="921"/>
      <c r="O11" s="921"/>
      <c r="P11" s="921"/>
      <c r="Q11" s="921"/>
      <c r="R11" s="921"/>
      <c r="S11" s="921"/>
      <c r="T11" s="921"/>
      <c r="U11" s="921"/>
      <c r="V11" s="921"/>
      <c r="W11" s="921"/>
      <c r="X11" s="921"/>
      <c r="Y11" s="910"/>
      <c r="Z11" s="911"/>
      <c r="AA11" s="912"/>
      <c r="AB11" s="912"/>
    </row>
    <row r="12" spans="1:28" ht="69" customHeight="1">
      <c r="A12" s="908"/>
      <c r="B12" s="1103"/>
      <c r="C12" s="1105"/>
      <c r="D12" s="922"/>
      <c r="E12" s="1107" t="s">
        <v>10</v>
      </c>
      <c r="F12" s="1107"/>
      <c r="G12" s="1107"/>
      <c r="H12" s="1107"/>
      <c r="I12" s="1107"/>
      <c r="J12" s="1107"/>
      <c r="K12" s="1107"/>
      <c r="L12" s="1107"/>
      <c r="M12" s="1107"/>
      <c r="N12" s="1107"/>
      <c r="O12" s="1107"/>
      <c r="P12" s="1107"/>
      <c r="Q12" s="1107"/>
      <c r="R12" s="1107"/>
      <c r="S12" s="1107"/>
      <c r="T12" s="1107"/>
      <c r="U12" s="1107"/>
      <c r="V12" s="1107"/>
      <c r="W12" s="1107"/>
      <c r="X12" s="1107"/>
      <c r="Y12" s="910"/>
      <c r="Z12" s="911"/>
      <c r="AA12" s="912"/>
      <c r="AB12" s="912"/>
    </row>
    <row r="13" spans="1:28" ht="15" customHeight="1">
      <c r="A13" s="908"/>
      <c r="B13" s="1110" t="s">
        <v>11</v>
      </c>
      <c r="C13" s="1111"/>
      <c r="D13" s="909"/>
      <c r="E13" s="921"/>
      <c r="F13" s="921"/>
      <c r="G13" s="921"/>
      <c r="H13" s="921"/>
      <c r="I13" s="921"/>
      <c r="J13" s="921"/>
      <c r="K13" s="921"/>
      <c r="L13" s="921"/>
      <c r="M13" s="921"/>
      <c r="N13" s="921"/>
      <c r="O13" s="921"/>
      <c r="P13" s="921"/>
      <c r="Q13" s="921"/>
      <c r="R13" s="921"/>
      <c r="S13" s="921"/>
      <c r="T13" s="921"/>
      <c r="U13" s="921"/>
      <c r="V13" s="921"/>
      <c r="W13" s="921"/>
      <c r="X13" s="921"/>
      <c r="Y13" s="910"/>
      <c r="Z13" s="911"/>
      <c r="AA13" s="912"/>
      <c r="AB13" s="912"/>
    </row>
    <row r="14" spans="1:28" ht="57" customHeight="1">
      <c r="A14" s="908"/>
      <c r="B14" s="1103"/>
      <c r="C14" s="1104"/>
      <c r="D14" s="914"/>
      <c r="E14" s="1114" t="s">
        <v>12</v>
      </c>
      <c r="F14" s="1114"/>
      <c r="G14" s="1114"/>
      <c r="H14" s="1114"/>
      <c r="I14" s="1114"/>
      <c r="J14" s="1114"/>
      <c r="K14" s="1114"/>
      <c r="L14" s="1114"/>
      <c r="M14" s="1114"/>
      <c r="N14" s="1114"/>
      <c r="O14" s="1114"/>
      <c r="P14" s="1114"/>
      <c r="Q14" s="1114"/>
      <c r="R14" s="1114"/>
      <c r="S14" s="1114"/>
      <c r="T14" s="1114"/>
      <c r="U14" s="1114"/>
      <c r="V14" s="1114"/>
      <c r="W14" s="1114"/>
      <c r="X14" s="1114"/>
      <c r="Y14" s="910"/>
      <c r="Z14" s="911"/>
      <c r="AA14" s="912"/>
      <c r="AB14" s="912"/>
    </row>
    <row r="15" spans="1:28" ht="16.5" customHeight="1">
      <c r="A15" s="908"/>
      <c r="B15" s="1112"/>
      <c r="C15" s="1113"/>
      <c r="D15" s="923"/>
      <c r="E15" s="924"/>
      <c r="F15" s="924"/>
      <c r="G15" s="924"/>
      <c r="H15" s="924"/>
      <c r="I15" s="924"/>
      <c r="J15" s="924"/>
      <c r="K15" s="924"/>
      <c r="L15" s="924"/>
      <c r="M15" s="924"/>
      <c r="N15" s="924"/>
      <c r="O15" s="924"/>
      <c r="P15" s="924"/>
      <c r="Q15" s="924"/>
      <c r="R15" s="924"/>
      <c r="S15" s="924"/>
      <c r="T15" s="924"/>
      <c r="U15" s="924"/>
      <c r="V15" s="924"/>
      <c r="W15" s="924"/>
      <c r="X15" s="924"/>
      <c r="Y15" s="925"/>
      <c r="Z15" s="911"/>
      <c r="AA15" s="926"/>
      <c r="AB15" s="912"/>
    </row>
    <row r="16" spans="1:28" ht="95.25" customHeight="1">
      <c r="A16" s="901"/>
      <c r="B16" s="1114"/>
      <c r="C16" s="1115"/>
      <c r="D16" s="1115"/>
      <c r="E16" s="1115"/>
      <c r="F16" s="1115"/>
      <c r="G16" s="1115"/>
      <c r="H16" s="1115"/>
      <c r="I16" s="1115"/>
      <c r="J16" s="1115"/>
      <c r="K16" s="1115"/>
      <c r="L16" s="1115"/>
      <c r="M16" s="1115"/>
      <c r="N16" s="1115"/>
      <c r="O16" s="1115"/>
      <c r="P16" s="1115"/>
      <c r="Q16" s="1115"/>
      <c r="R16" s="1115"/>
      <c r="S16" s="1115"/>
      <c r="T16" s="1115"/>
      <c r="U16" s="1115"/>
      <c r="V16" s="1115"/>
      <c r="W16" s="1115"/>
      <c r="X16" s="1115"/>
      <c r="Y16" s="1115"/>
      <c r="Z16" s="901"/>
      <c r="AA16" s="903"/>
      <c r="AB16" s="901"/>
    </row>
    <row r="17" spans="1:28" ht="14.25" customHeight="1">
      <c r="A17" s="901"/>
      <c r="B17" s="901"/>
      <c r="C17" s="901"/>
      <c r="D17" s="901"/>
      <c r="E17" s="901"/>
      <c r="F17" s="901"/>
      <c r="G17" s="901"/>
      <c r="H17" s="901"/>
      <c r="I17" s="901"/>
      <c r="J17" s="901"/>
      <c r="K17" s="901"/>
      <c r="L17" s="901"/>
      <c r="M17" s="901"/>
      <c r="N17" s="901"/>
      <c r="O17" s="901"/>
      <c r="P17" s="901"/>
      <c r="Q17" s="901"/>
      <c r="R17" s="901"/>
      <c r="S17" s="901"/>
      <c r="T17" s="901"/>
      <c r="U17" s="901"/>
      <c r="V17" s="901"/>
      <c r="W17" s="901"/>
      <c r="X17" s="901"/>
      <c r="Y17" s="902"/>
      <c r="Z17" s="901"/>
      <c r="AA17" s="903"/>
      <c r="AB17" s="901"/>
    </row>
    <row r="18" spans="1:28" ht="14.25" customHeight="1">
      <c r="A18" s="901"/>
      <c r="B18" s="901"/>
      <c r="C18" s="901"/>
      <c r="D18" s="901"/>
      <c r="E18" s="901"/>
      <c r="F18" s="901"/>
      <c r="G18" s="901"/>
      <c r="H18" s="901"/>
      <c r="I18" s="901"/>
      <c r="J18" s="901"/>
      <c r="K18" s="901"/>
      <c r="L18" s="901"/>
      <c r="M18" s="901"/>
      <c r="N18" s="901"/>
      <c r="O18" s="901"/>
      <c r="P18" s="901"/>
      <c r="Q18" s="901"/>
      <c r="R18" s="901"/>
      <c r="S18" s="901"/>
      <c r="T18" s="901"/>
      <c r="U18" s="901"/>
      <c r="V18" s="901"/>
      <c r="W18" s="901"/>
      <c r="X18" s="901"/>
      <c r="Y18" s="902"/>
      <c r="Z18" s="901"/>
      <c r="AA18" s="903"/>
      <c r="AB18" s="901"/>
    </row>
    <row r="19" spans="1:28" ht="14.25" customHeight="1">
      <c r="A19" s="901"/>
      <c r="B19" s="901"/>
      <c r="C19" s="901"/>
      <c r="D19" s="901"/>
      <c r="E19" s="901"/>
      <c r="F19" s="901"/>
      <c r="G19" s="901"/>
      <c r="H19" s="901"/>
      <c r="I19" s="901"/>
      <c r="J19" s="901"/>
      <c r="K19" s="901"/>
      <c r="L19" s="901"/>
      <c r="M19" s="901"/>
      <c r="N19" s="901"/>
      <c r="O19" s="901"/>
      <c r="P19" s="901"/>
      <c r="Q19" s="901"/>
      <c r="R19" s="901"/>
      <c r="S19" s="901"/>
      <c r="T19" s="901"/>
      <c r="U19" s="901"/>
      <c r="V19" s="901"/>
      <c r="W19" s="901"/>
      <c r="X19" s="901"/>
      <c r="Y19" s="902"/>
      <c r="Z19" s="901"/>
      <c r="AA19" s="903"/>
      <c r="AB19" s="901"/>
    </row>
    <row r="20" spans="1:28" ht="14.25" customHeight="1">
      <c r="A20" s="901"/>
      <c r="B20" s="901"/>
      <c r="C20" s="901"/>
      <c r="D20" s="901"/>
      <c r="E20" s="901"/>
      <c r="F20" s="901"/>
      <c r="G20" s="901"/>
      <c r="H20" s="901"/>
      <c r="I20" s="901"/>
      <c r="J20" s="901"/>
      <c r="K20" s="901"/>
      <c r="L20" s="901"/>
      <c r="M20" s="901"/>
      <c r="N20" s="901"/>
      <c r="O20" s="901"/>
      <c r="P20" s="901"/>
      <c r="Q20" s="901"/>
      <c r="R20" s="901"/>
      <c r="S20" s="901"/>
      <c r="T20" s="901"/>
      <c r="U20" s="901"/>
      <c r="V20" s="901"/>
      <c r="W20" s="901"/>
      <c r="X20" s="901"/>
      <c r="Y20" s="902"/>
      <c r="Z20" s="901"/>
      <c r="AA20" s="903"/>
      <c r="AB20" s="901"/>
    </row>
    <row r="21" spans="1:28" ht="14.25" customHeight="1">
      <c r="A21" s="901"/>
      <c r="B21" s="901"/>
      <c r="C21" s="901"/>
      <c r="D21" s="901"/>
      <c r="E21" s="901"/>
      <c r="F21" s="901"/>
      <c r="G21" s="901"/>
      <c r="H21" s="901"/>
      <c r="I21" s="901"/>
      <c r="J21" s="901"/>
      <c r="K21" s="901"/>
      <c r="L21" s="901"/>
      <c r="M21" s="901"/>
      <c r="N21" s="901"/>
      <c r="O21" s="901"/>
      <c r="P21" s="901"/>
      <c r="Q21" s="901"/>
      <c r="R21" s="901"/>
      <c r="S21" s="901"/>
      <c r="T21" s="901"/>
      <c r="U21" s="901"/>
      <c r="V21" s="901"/>
      <c r="W21" s="901"/>
      <c r="X21" s="901"/>
      <c r="Y21" s="902"/>
      <c r="Z21" s="901"/>
      <c r="AA21" s="903"/>
      <c r="AB21" s="901"/>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F8D8D-A7B8-BEA7-C065-43125B147938}">
  <sheetPr>
    <tabColor rgb="FFCCCCFF"/>
  </sheetPr>
  <dimension ref="A1:P78"/>
  <sheetViews>
    <sheetView showGridLines="0" tabSelected="1" topLeftCell="C1" zoomScale="90" workbookViewId="0">
      <selection activeCell="E10" sqref="E10:E14"/>
    </sheetView>
  </sheetViews>
  <sheetFormatPr defaultColWidth="9.140625" defaultRowHeight="11.25" customHeight="1"/>
  <cols>
    <col min="1" max="1" width="10.7109375" style="439" hidden="1" customWidth="1"/>
    <col min="2" max="2" width="10.7109375" style="31" hidden="1" customWidth="1"/>
    <col min="3" max="3" width="3.7109375" style="10" customWidth="1"/>
    <col min="4" max="4" width="1.7109375" style="12" customWidth="1"/>
    <col min="5" max="5" width="55.28515625" style="12" customWidth="1"/>
    <col min="6" max="6" width="55" style="12" customWidth="1"/>
    <col min="7" max="7" width="1.7109375" style="59" customWidth="1"/>
    <col min="8" max="8" width="18" style="12" hidden="1" customWidth="1"/>
    <col min="9" max="9" width="59.7109375" style="232" customWidth="1"/>
    <col min="10" max="10" width="52.140625" style="63" hidden="1" customWidth="1"/>
    <col min="11" max="11" width="9.140625" style="12"/>
    <col min="12" max="12" width="78" style="12" customWidth="1"/>
    <col min="13" max="16" width="9.140625" style="12"/>
  </cols>
  <sheetData>
    <row r="1" spans="1:11" s="140" customFormat="1" ht="3" customHeight="1">
      <c r="A1" s="439"/>
      <c r="B1" s="139"/>
      <c r="F1" s="140">
        <v>26354809</v>
      </c>
      <c r="G1" s="232"/>
      <c r="H1" s="9"/>
      <c r="I1" s="232"/>
      <c r="J1" s="68"/>
    </row>
    <row r="2" spans="1:11" s="9" customFormat="1" ht="14.25" customHeight="1">
      <c r="A2" s="439"/>
      <c r="B2" s="31"/>
      <c r="E2" s="939" t="str">
        <f>code</f>
        <v>Код отчёта: PP110.OPEN.INFO.BALANCE.HEAT.EIAS</v>
      </c>
      <c r="F2" s="157"/>
      <c r="G2" s="34"/>
      <c r="H2" s="34"/>
      <c r="I2" s="34"/>
      <c r="J2" s="497"/>
      <c r="K2" s="34"/>
    </row>
    <row r="3" spans="1:11" ht="14.25" customHeight="1">
      <c r="E3" s="142" t="str">
        <f>version</f>
        <v>Версия отчёта: 1.0.9</v>
      </c>
      <c r="F3" s="157"/>
      <c r="G3"/>
      <c r="H3"/>
      <c r="I3"/>
      <c r="J3" s="62"/>
      <c r="K3"/>
    </row>
    <row r="4" spans="1:11" s="134" customFormat="1" ht="6" customHeight="1">
      <c r="A4" s="439"/>
      <c r="B4" s="130"/>
      <c r="C4" s="131"/>
      <c r="D4" s="132"/>
      <c r="F4" s="141"/>
      <c r="G4" s="59"/>
      <c r="H4" s="12"/>
      <c r="I4" s="232"/>
      <c r="J4" s="395"/>
    </row>
    <row r="5" spans="1:11" ht="37.5" customHeight="1">
      <c r="D5" s="13"/>
      <c r="E5" s="111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117"/>
      <c r="G5" s="432"/>
      <c r="J5" s="498"/>
    </row>
    <row r="6" spans="1:11" s="134" customFormat="1" ht="6" customHeight="1">
      <c r="A6" s="439"/>
      <c r="B6" s="130"/>
      <c r="C6" s="131"/>
      <c r="D6" s="132"/>
      <c r="E6" s="135"/>
      <c r="F6" s="136"/>
      <c r="G6" s="432"/>
      <c r="H6" s="12"/>
      <c r="I6" s="232"/>
      <c r="J6" s="395"/>
    </row>
    <row r="7" spans="1:11" ht="19.5" customHeight="1">
      <c r="D7" s="13"/>
      <c r="E7" s="220" t="s">
        <v>13</v>
      </c>
      <c r="F7" s="116" t="s">
        <v>14</v>
      </c>
      <c r="G7" s="432"/>
    </row>
    <row r="8" spans="1:11" s="134" customFormat="1" ht="6" customHeight="1">
      <c r="A8" s="440"/>
      <c r="B8" s="130"/>
      <c r="C8" s="131"/>
      <c r="D8" s="137"/>
      <c r="E8" s="135"/>
      <c r="F8" s="138"/>
      <c r="G8" s="15"/>
      <c r="H8" s="12"/>
      <c r="I8" s="232"/>
      <c r="J8" s="499"/>
    </row>
    <row r="9" spans="1:11" s="12" customFormat="1" ht="19.5" hidden="1" customHeight="1">
      <c r="A9" s="439"/>
      <c r="B9" s="31"/>
      <c r="C9" s="10"/>
      <c r="D9" s="13"/>
      <c r="E9" s="220" t="s">
        <v>15</v>
      </c>
      <c r="F9" s="1028"/>
      <c r="G9" s="432"/>
      <c r="I9" s="334" t="str">
        <f>IF(TITLE_STRUCTURE_INFO_ROIV="","","раскрывается "&amp;INDEX(ROIV_INFO_COMMENT,MATCH(TITLE_STRUCTURE_INFO_ROIV,ROIV_INFO_LIST,0)))</f>
        <v/>
      </c>
      <c r="J9" s="63"/>
    </row>
    <row r="10" spans="1:11" s="134" customFormat="1" ht="6" customHeight="1">
      <c r="A10" s="440"/>
      <c r="B10" s="130"/>
      <c r="C10" s="131"/>
      <c r="D10" s="137"/>
      <c r="E10" s="135"/>
      <c r="F10" s="138"/>
      <c r="G10" s="15"/>
      <c r="H10" s="12"/>
      <c r="I10" s="232"/>
      <c r="J10" s="499"/>
    </row>
    <row r="11" spans="1:11" ht="22.5" hidden="1" customHeight="1">
      <c r="A11" s="1119" t="s">
        <v>16</v>
      </c>
      <c r="D11" s="13"/>
      <c r="E11" s="220" t="s">
        <v>17</v>
      </c>
      <c r="F11" s="931" t="s">
        <v>18</v>
      </c>
      <c r="G11" s="15"/>
      <c r="H11" s="433" t="s">
        <v>19</v>
      </c>
      <c r="J11" s="63" t="s">
        <v>20</v>
      </c>
    </row>
    <row r="12" spans="1:11" ht="22.5" hidden="1" customHeight="1">
      <c r="A12" s="1119"/>
      <c r="D12" s="13"/>
      <c r="E12" s="220" t="s">
        <v>21</v>
      </c>
      <c r="F12" s="931"/>
      <c r="G12" s="11"/>
      <c r="J12" s="63" t="s">
        <v>22</v>
      </c>
    </row>
    <row r="13" spans="1:11" s="12" customFormat="1" ht="22.5" hidden="1" customHeight="1">
      <c r="A13" s="442" t="s">
        <v>23</v>
      </c>
      <c r="B13" s="31"/>
      <c r="C13" s="10"/>
      <c r="D13" s="13"/>
      <c r="E13" s="966" t="s">
        <v>24</v>
      </c>
      <c r="F13" s="931" t="s">
        <v>18</v>
      </c>
      <c r="G13" s="15"/>
      <c r="H13"/>
      <c r="I13" s="232"/>
      <c r="J13" s="497" t="s">
        <v>25</v>
      </c>
    </row>
    <row r="14" spans="1:11" s="12" customFormat="1" ht="27" customHeight="1">
      <c r="A14" s="442" t="s">
        <v>26</v>
      </c>
      <c r="B14" s="31"/>
      <c r="C14" s="10"/>
      <c r="D14" s="13"/>
      <c r="E14" s="220" t="s">
        <v>27</v>
      </c>
      <c r="F14" s="104">
        <v>2023</v>
      </c>
      <c r="G14" s="15"/>
      <c r="H14"/>
      <c r="I14" s="232"/>
      <c r="J14" s="63" t="s">
        <v>28</v>
      </c>
    </row>
    <row r="15" spans="1:11" s="12" customFormat="1" ht="19.5" hidden="1" customHeight="1">
      <c r="A15" s="442" t="s">
        <v>29</v>
      </c>
      <c r="B15" s="31"/>
      <c r="C15" s="10"/>
      <c r="D15" s="13"/>
      <c r="E15" s="220" t="s">
        <v>30</v>
      </c>
      <c r="F15" s="104"/>
      <c r="G15" s="15"/>
      <c r="H15"/>
      <c r="I15" s="232"/>
      <c r="J15" s="63" t="s">
        <v>31</v>
      </c>
    </row>
    <row r="16" spans="1:11" s="134" customFormat="1" ht="6" customHeight="1">
      <c r="A16" s="440"/>
      <c r="B16" s="130"/>
      <c r="C16" s="131"/>
      <c r="D16" s="137"/>
      <c r="E16" s="135"/>
      <c r="F16" s="138"/>
      <c r="G16" s="15"/>
      <c r="H16" s="12"/>
      <c r="I16" s="232"/>
      <c r="J16" s="395"/>
    </row>
    <row r="17" spans="1:10" ht="19.5" customHeight="1">
      <c r="D17" s="13"/>
      <c r="E17" s="220" t="s">
        <v>32</v>
      </c>
      <c r="F17" s="117" t="s">
        <v>33</v>
      </c>
      <c r="G17" s="11"/>
      <c r="H17" s="433" t="s">
        <v>19</v>
      </c>
    </row>
    <row r="18" spans="1:10" ht="25.5" hidden="1" customHeight="1">
      <c r="D18" s="13"/>
      <c r="E18" s="966" t="s">
        <v>34</v>
      </c>
      <c r="F18" s="932"/>
      <c r="G18" s="11"/>
      <c r="I18" s="434"/>
      <c r="J18" s="1118" t="s">
        <v>35</v>
      </c>
    </row>
    <row r="19" spans="1:10" ht="25.5" hidden="1" customHeight="1">
      <c r="D19" s="13"/>
      <c r="E19" s="22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32"/>
      <c r="G19" s="11"/>
      <c r="I19" s="434"/>
      <c r="J19" s="1118"/>
    </row>
    <row r="20" spans="1:10" ht="22.5" hidden="1" customHeight="1">
      <c r="D20" s="13"/>
      <c r="E20" s="14"/>
      <c r="F20" s="59" t="str">
        <f>"Первичное "&amp;IF(TEMPLATE_GROUP="P","установление тарифов","предложение по тарифам")</f>
        <v>Первичное предложение по тарифам</v>
      </c>
      <c r="G20" s="11"/>
      <c r="I20" s="15"/>
      <c r="J20" s="498" t="s">
        <v>36</v>
      </c>
    </row>
    <row r="21" spans="1:10" ht="19.5" hidden="1" customHeight="1">
      <c r="D21" s="13"/>
      <c r="E21" s="220" t="str">
        <f>"Дата "&amp;IF(TEMPLATE_GROUP="P","документа","подачи заявления")&amp;" об утверждении тарифов"</f>
        <v>Дата подачи заявления об утверждении тарифов</v>
      </c>
      <c r="F21" s="931"/>
      <c r="G21" s="11"/>
      <c r="I21" s="435"/>
    </row>
    <row r="22" spans="1:10" ht="19.5" hidden="1" customHeight="1">
      <c r="D22" s="13"/>
      <c r="E22" s="220" t="str">
        <f>"Номер "&amp;IF(TEMPLATE_GROUP="P","документа","подачи заявления")&amp;" об утверждении тарифов"</f>
        <v>Номер подачи заявления об утверждении тарифов</v>
      </c>
      <c r="F22" s="117"/>
      <c r="G22" s="11"/>
      <c r="I22" s="435"/>
    </row>
    <row r="23" spans="1:10" ht="22.5" hidden="1" customHeight="1">
      <c r="D23" s="13"/>
      <c r="E23" s="220" t="s">
        <v>37</v>
      </c>
      <c r="F23" s="117"/>
      <c r="G23" s="11"/>
    </row>
    <row r="24" spans="1:10" ht="19.5" hidden="1" customHeight="1">
      <c r="D24" s="13"/>
      <c r="E24" s="220" t="s">
        <v>38</v>
      </c>
      <c r="F24" s="117"/>
      <c r="G24" s="11"/>
    </row>
    <row r="25" spans="1:10" ht="22.5" hidden="1" customHeight="1">
      <c r="D25" s="13"/>
      <c r="E25" s="14"/>
      <c r="F25" s="59" t="str">
        <f>"Изменение "&amp;IF(TEMPLATE_GROUP="P","тарифов","предложения по тарифам")</f>
        <v>Изменение предложения по тарифам</v>
      </c>
      <c r="G25" s="11"/>
      <c r="J25" s="498" t="s">
        <v>39</v>
      </c>
    </row>
    <row r="26" spans="1:10" ht="19.5" hidden="1" customHeight="1">
      <c r="D26" s="13"/>
      <c r="E26" s="220" t="str">
        <f>"Дата "&amp;IF(TEMPLATE_GROUP="P","принятия решения","подачи заявления")&amp;" об изменении тарифов"</f>
        <v>Дата подачи заявления об изменении тарифов</v>
      </c>
      <c r="F26" s="932"/>
      <c r="G26" s="11"/>
    </row>
    <row r="27" spans="1:10" ht="19.5" hidden="1" customHeight="1">
      <c r="D27" s="13"/>
      <c r="E27" s="220" t="str">
        <f>"Номер "&amp;IF(TEMPLATE_GROUP="P","принятия решения","заявления")&amp;" об изменении тарифов"</f>
        <v>Номер заявления об изменении тарифов</v>
      </c>
      <c r="F27" s="119"/>
      <c r="G27" s="11"/>
    </row>
    <row r="28" spans="1:10" ht="24.75" hidden="1" customHeight="1">
      <c r="D28" s="13"/>
      <c r="E28" s="220" t="s">
        <v>40</v>
      </c>
      <c r="F28" s="119"/>
      <c r="G28" s="11"/>
    </row>
    <row r="29" spans="1:10" ht="19.5" hidden="1" customHeight="1">
      <c r="D29" s="13"/>
      <c r="E29" s="220" t="s">
        <v>38</v>
      </c>
      <c r="F29" s="119"/>
      <c r="G29" s="11"/>
    </row>
    <row r="30" spans="1:10" s="134" customFormat="1" ht="6" customHeight="1">
      <c r="A30" s="440"/>
      <c r="B30" s="130"/>
      <c r="C30" s="131"/>
      <c r="D30" s="137"/>
      <c r="E30" s="135"/>
      <c r="F30" s="138"/>
      <c r="G30" s="15"/>
      <c r="H30" s="12"/>
      <c r="I30" s="232"/>
      <c r="J30" s="395"/>
    </row>
    <row r="31" spans="1:10" ht="19.5" customHeight="1">
      <c r="C31" s="16"/>
      <c r="D31" s="17"/>
      <c r="E31" s="220" t="str">
        <f>"Наименование "&amp;IF(TEMPLATE_GROUP="ROIV","органа тарифного регулирования","ЮЛ / ИП")</f>
        <v>Наименование ЮЛ / ИП</v>
      </c>
      <c r="F31" s="118" t="s">
        <v>41</v>
      </c>
      <c r="G31" s="436"/>
    </row>
    <row r="32" spans="1:10" ht="19.5" hidden="1" customHeight="1">
      <c r="C32" s="16"/>
      <c r="D32" s="17"/>
      <c r="E32" s="221" t="s">
        <v>42</v>
      </c>
      <c r="F32" s="118"/>
      <c r="G32" s="436"/>
    </row>
    <row r="33" spans="1:10" ht="19.5" customHeight="1">
      <c r="C33" s="16"/>
      <c r="D33" s="17"/>
      <c r="E33" s="220" t="s">
        <v>43</v>
      </c>
      <c r="F33" s="118" t="s">
        <v>44</v>
      </c>
      <c r="G33" s="436"/>
    </row>
    <row r="34" spans="1:10" ht="19.5" customHeight="1">
      <c r="C34" s="16"/>
      <c r="D34" s="17"/>
      <c r="E34" s="220" t="s">
        <v>45</v>
      </c>
      <c r="F34" s="118" t="s">
        <v>46</v>
      </c>
      <c r="G34" s="436"/>
      <c r="H34" s="18"/>
    </row>
    <row r="35" spans="1:10" s="134" customFormat="1" ht="11.25" customHeight="1">
      <c r="A35" s="440"/>
      <c r="B35" s="130"/>
      <c r="C35" s="131"/>
      <c r="D35" s="137"/>
      <c r="E35" s="135"/>
      <c r="F35" s="138"/>
      <c r="G35" s="15"/>
      <c r="H35" s="12"/>
      <c r="I35" s="232"/>
      <c r="J35" s="395"/>
    </row>
    <row r="36" spans="1:10" ht="19.5" customHeight="1">
      <c r="A36" s="500"/>
      <c r="D36" s="17"/>
      <c r="E36" s="220" t="s">
        <v>47</v>
      </c>
      <c r="F36" s="200" t="s">
        <v>48</v>
      </c>
      <c r="G36" s="15"/>
    </row>
    <row r="37" spans="1:10" ht="19.5" customHeight="1">
      <c r="A37" s="500"/>
      <c r="D37" s="17"/>
      <c r="E37" s="220" t="s">
        <v>49</v>
      </c>
      <c r="F37" s="200" t="s">
        <v>50</v>
      </c>
      <c r="G37" s="15"/>
    </row>
    <row r="38" spans="1:10" s="134" customFormat="1" ht="6" customHeight="1">
      <c r="A38" s="440"/>
      <c r="B38" s="130"/>
      <c r="C38" s="131"/>
      <c r="D38" s="132"/>
      <c r="E38" s="133"/>
      <c r="F38" s="608"/>
      <c r="G38" s="11"/>
      <c r="H38" s="12"/>
      <c r="I38" s="232"/>
      <c r="J38" s="63"/>
    </row>
    <row r="39" spans="1:10" ht="35.25" customHeight="1">
      <c r="A39" s="440"/>
      <c r="D39" s="13"/>
      <c r="E39" s="220" t="s">
        <v>51</v>
      </c>
      <c r="F39" s="399" t="s">
        <v>52</v>
      </c>
      <c r="G39" s="11"/>
      <c r="H39" s="433" t="s">
        <v>19</v>
      </c>
    </row>
    <row r="40" spans="1:10" s="134" customFormat="1" ht="6" hidden="1" customHeight="1">
      <c r="A40" s="439"/>
      <c r="B40" s="130"/>
      <c r="C40" s="131"/>
      <c r="D40" s="132"/>
      <c r="E40" s="133"/>
      <c r="F40" s="608"/>
      <c r="G40" s="11"/>
      <c r="H40" s="12"/>
      <c r="I40" s="232"/>
      <c r="J40" s="63"/>
    </row>
    <row r="41" spans="1:10" s="12" customFormat="1" ht="26.25" hidden="1" customHeight="1">
      <c r="A41" s="442" t="s">
        <v>23</v>
      </c>
      <c r="B41" s="31"/>
      <c r="C41" s="10"/>
      <c r="D41" s="13"/>
      <c r="E41" s="220"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399" t="s">
        <v>52</v>
      </c>
      <c r="G41" s="11"/>
      <c r="I41" s="232"/>
      <c r="J41" s="63"/>
    </row>
    <row r="42" spans="1:10" s="134" customFormat="1" ht="6" hidden="1" customHeight="1">
      <c r="A42" s="439"/>
      <c r="B42" s="130"/>
      <c r="C42" s="131"/>
      <c r="D42" s="132"/>
      <c r="E42" s="133"/>
      <c r="F42" s="608"/>
      <c r="G42" s="11"/>
      <c r="H42" s="12"/>
      <c r="I42" s="232"/>
      <c r="J42" s="395"/>
    </row>
    <row r="43" spans="1:10" s="12" customFormat="1" ht="27" hidden="1" customHeight="1">
      <c r="A43" s="439"/>
      <c r="B43" s="31"/>
      <c r="C43" s="10"/>
      <c r="D43" s="13"/>
      <c r="E43" s="220" t="s">
        <v>53</v>
      </c>
      <c r="F43" s="399" t="s">
        <v>52</v>
      </c>
      <c r="G43" s="11"/>
      <c r="I43" s="232"/>
      <c r="J43" s="63"/>
    </row>
    <row r="44" spans="1:10" s="12" customFormat="1" ht="27" hidden="1" customHeight="1">
      <c r="A44" s="439"/>
      <c r="B44" s="31"/>
      <c r="C44" s="10"/>
      <c r="D44" s="13"/>
      <c r="E44" s="220" t="s">
        <v>54</v>
      </c>
      <c r="F44" s="1010"/>
      <c r="G44" s="11"/>
      <c r="I44" s="232"/>
      <c r="J44" s="63"/>
    </row>
    <row r="45" spans="1:10" s="134" customFormat="1" ht="6" hidden="1" customHeight="1">
      <c r="A45" s="439"/>
      <c r="B45" s="130"/>
      <c r="C45" s="131"/>
      <c r="D45" s="132"/>
      <c r="E45" s="133"/>
      <c r="F45" s="608"/>
      <c r="G45" s="11"/>
      <c r="H45" s="12"/>
      <c r="I45" s="232"/>
      <c r="J45" s="63"/>
    </row>
    <row r="46" spans="1:10" s="134" customFormat="1" ht="24.75" hidden="1" customHeight="1">
      <c r="A46" s="439"/>
      <c r="B46" s="130"/>
      <c r="C46" s="131"/>
      <c r="D46" s="132"/>
      <c r="E46" s="220" t="s">
        <v>55</v>
      </c>
      <c r="F46" s="399" t="s">
        <v>52</v>
      </c>
      <c r="G46" s="11"/>
      <c r="H46" s="12"/>
      <c r="I46" s="232"/>
      <c r="J46" s="63"/>
    </row>
    <row r="47" spans="1:10" s="12" customFormat="1" ht="24.75" hidden="1" customHeight="1">
      <c r="A47" s="439"/>
      <c r="B47" s="31"/>
      <c r="C47" s="10"/>
      <c r="D47" s="13"/>
      <c r="E47" s="220" t="s">
        <v>56</v>
      </c>
      <c r="F47" s="399" t="s">
        <v>52</v>
      </c>
      <c r="G47" s="11"/>
      <c r="I47" s="232"/>
      <c r="J47" s="63"/>
    </row>
    <row r="48" spans="1:10" s="134" customFormat="1" ht="6" hidden="1" customHeight="1">
      <c r="A48" s="439"/>
      <c r="B48" s="130"/>
      <c r="C48" s="131"/>
      <c r="D48" s="132"/>
      <c r="E48" s="133"/>
      <c r="F48" s="608"/>
      <c r="G48" s="11"/>
      <c r="H48" s="12"/>
      <c r="I48" s="232"/>
      <c r="J48" s="63"/>
    </row>
    <row r="49" spans="1:16" ht="29.25" hidden="1" customHeight="1">
      <c r="D49" s="13"/>
      <c r="E49" s="2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399"/>
      <c r="G49" s="11"/>
    </row>
    <row r="50" spans="1:16" s="134" customFormat="1" ht="6" customHeight="1">
      <c r="A50" s="440"/>
      <c r="B50" s="130"/>
      <c r="C50" s="131"/>
      <c r="D50" s="137"/>
      <c r="E50" s="135"/>
      <c r="F50" s="138"/>
      <c r="G50" s="15"/>
      <c r="H50" s="12"/>
      <c r="I50" s="232"/>
      <c r="J50" s="63"/>
    </row>
    <row r="51" spans="1:16" s="12" customFormat="1" ht="28.5" customHeight="1">
      <c r="A51" s="441"/>
      <c r="B51" s="31"/>
      <c r="C51" s="10"/>
      <c r="D51" s="232"/>
      <c r="E51" s="220" t="s">
        <v>57</v>
      </c>
      <c r="F51" s="399" t="s">
        <v>52</v>
      </c>
      <c r="G51" s="59"/>
      <c r="I51" s="299"/>
      <c r="J51" s="63"/>
      <c r="P51" s="300"/>
    </row>
    <row r="52" spans="1:16" s="134" customFormat="1" ht="6" customHeight="1">
      <c r="A52" s="440"/>
      <c r="B52" s="130"/>
      <c r="C52" s="131"/>
      <c r="D52" s="137"/>
      <c r="E52" s="135"/>
      <c r="F52" s="138"/>
      <c r="G52" s="15"/>
      <c r="H52" s="12"/>
      <c r="I52" s="232"/>
      <c r="J52" s="395"/>
    </row>
    <row r="53" spans="1:16" s="12" customFormat="1" ht="27" customHeight="1">
      <c r="A53" s="441"/>
      <c r="B53" s="31"/>
      <c r="C53" s="10"/>
      <c r="D53" s="232"/>
      <c r="E53" s="220" t="s">
        <v>58</v>
      </c>
      <c r="F53" s="607" t="s">
        <v>52</v>
      </c>
      <c r="G53" s="59"/>
      <c r="I53" s="299"/>
      <c r="J53" s="63"/>
      <c r="P53" s="300"/>
    </row>
    <row r="54" spans="1:16" s="12" customFormat="1" ht="27" hidden="1" customHeight="1">
      <c r="A54" s="441"/>
      <c r="B54" s="31"/>
      <c r="C54" s="10"/>
      <c r="D54" s="232"/>
      <c r="E54" s="220" t="s">
        <v>59</v>
      </c>
      <c r="F54" s="965"/>
      <c r="G54" s="59"/>
      <c r="I54" s="299"/>
      <c r="J54" s="63"/>
      <c r="P54" s="300"/>
    </row>
    <row r="55" spans="1:16" s="134" customFormat="1" ht="6" customHeight="1">
      <c r="A55" s="440"/>
      <c r="B55" s="130"/>
      <c r="C55" s="131"/>
      <c r="D55" s="137"/>
      <c r="E55" s="135"/>
      <c r="F55" s="138"/>
      <c r="G55" s="15"/>
      <c r="H55" s="12"/>
      <c r="I55" s="232"/>
      <c r="J55" s="395"/>
    </row>
    <row r="56" spans="1:16" s="12" customFormat="1" ht="25.5" customHeight="1">
      <c r="A56" s="441"/>
      <c r="B56" s="31"/>
      <c r="C56" s="10"/>
      <c r="D56" s="232"/>
      <c r="E56" s="220" t="s">
        <v>60</v>
      </c>
      <c r="F56" s="607" t="s">
        <v>52</v>
      </c>
      <c r="G56" s="59"/>
      <c r="I56" s="299"/>
      <c r="J56" s="63"/>
      <c r="P56" s="300"/>
    </row>
    <row r="57" spans="1:16" s="134" customFormat="1" ht="6" customHeight="1">
      <c r="A57" s="440"/>
      <c r="B57" s="130"/>
      <c r="C57" s="131"/>
      <c r="D57" s="137"/>
      <c r="E57" s="135"/>
      <c r="F57" s="138"/>
      <c r="G57" s="15"/>
      <c r="H57" s="12"/>
      <c r="I57" s="232"/>
      <c r="J57" s="395"/>
    </row>
    <row r="58" spans="1:16" s="12" customFormat="1" ht="15" customHeight="1">
      <c r="A58" s="441"/>
      <c r="B58" s="31"/>
      <c r="C58" s="10"/>
      <c r="D58" s="232"/>
      <c r="E58" s="220" t="s">
        <v>61</v>
      </c>
      <c r="F58" s="607" t="s">
        <v>62</v>
      </c>
      <c r="G58" s="59"/>
      <c r="I58" s="299"/>
      <c r="J58" s="63"/>
      <c r="P58" s="300"/>
    </row>
    <row r="59" spans="1:16" s="12" customFormat="1" ht="75" customHeight="1">
      <c r="A59" s="441"/>
      <c r="B59" s="31"/>
      <c r="C59" s="10"/>
      <c r="D59" s="232"/>
      <c r="E59" s="2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607" t="s">
        <v>62</v>
      </c>
      <c r="G59" s="59"/>
      <c r="I59" s="299"/>
      <c r="J59" s="63"/>
      <c r="P59" s="300"/>
    </row>
    <row r="60" spans="1:16" s="12" customFormat="1" ht="15" customHeight="1">
      <c r="A60" s="441"/>
      <c r="B60" s="31"/>
      <c r="C60" s="10"/>
      <c r="D60" s="232"/>
      <c r="E60" s="220" t="s">
        <v>63</v>
      </c>
      <c r="F60" s="200" t="s">
        <v>64</v>
      </c>
      <c r="G60" s="59"/>
      <c r="I60" s="299"/>
      <c r="J60" s="63"/>
      <c r="P60" s="300"/>
    </row>
    <row r="61" spans="1:16" s="134" customFormat="1" ht="6" hidden="1" customHeight="1">
      <c r="A61" s="440"/>
      <c r="B61" s="130"/>
      <c r="C61" s="131"/>
      <c r="D61" s="132"/>
      <c r="E61" s="133"/>
      <c r="F61" s="608"/>
      <c r="G61" s="11"/>
      <c r="H61" s="12"/>
      <c r="I61" s="232"/>
      <c r="J61" s="63"/>
    </row>
    <row r="62" spans="1:16" s="12" customFormat="1" ht="33.75" hidden="1" customHeight="1">
      <c r="A62" s="440"/>
      <c r="B62" s="31"/>
      <c r="C62" s="10"/>
      <c r="D62" s="13"/>
      <c r="E62" s="220" t="s">
        <v>65</v>
      </c>
      <c r="F62" s="399" t="s">
        <v>62</v>
      </c>
      <c r="G62" s="11"/>
      <c r="H62" s="433" t="s">
        <v>19</v>
      </c>
      <c r="I62" s="232"/>
      <c r="J62" s="63"/>
    </row>
    <row r="63" spans="1:16" s="134" customFormat="1" ht="6" customHeight="1">
      <c r="A63" s="440"/>
      <c r="B63" s="130"/>
      <c r="C63" s="131"/>
      <c r="D63" s="137"/>
      <c r="E63" s="135"/>
      <c r="F63" s="138"/>
      <c r="G63" s="15"/>
      <c r="H63" s="12"/>
      <c r="I63" s="232"/>
      <c r="J63" s="395"/>
    </row>
    <row r="64" spans="1:16" ht="19.5" customHeight="1">
      <c r="B64" s="32"/>
      <c r="D64" s="20"/>
      <c r="E64" s="220" t="s">
        <v>66</v>
      </c>
      <c r="F64" s="117" t="s">
        <v>67</v>
      </c>
      <c r="G64" s="15"/>
    </row>
    <row r="65" spans="2:9" ht="19.5" customHeight="1">
      <c r="B65" s="32"/>
      <c r="D65" s="20"/>
      <c r="E65" s="220" t="s">
        <v>68</v>
      </c>
      <c r="F65" s="117" t="s">
        <v>69</v>
      </c>
      <c r="G65" s="15"/>
    </row>
    <row r="66" spans="2:9" ht="35.25" customHeight="1">
      <c r="D66" s="13"/>
      <c r="E66" s="222" t="s">
        <v>70</v>
      </c>
      <c r="F66" s="79"/>
      <c r="G66" s="11"/>
    </row>
    <row r="67" spans="2:9" ht="19.5" customHeight="1">
      <c r="D67" s="13"/>
      <c r="E67" s="220" t="s">
        <v>71</v>
      </c>
      <c r="F67" s="117" t="s">
        <v>72</v>
      </c>
      <c r="G67" s="15"/>
    </row>
    <row r="68" spans="2:9" ht="19.5" customHeight="1">
      <c r="B68" s="32"/>
      <c r="D68" s="20"/>
      <c r="E68" s="220" t="s">
        <v>73</v>
      </c>
      <c r="F68" s="117" t="s">
        <v>74</v>
      </c>
      <c r="G68" s="15"/>
    </row>
    <row r="69" spans="2:9" ht="19.5" customHeight="1">
      <c r="B69" s="32"/>
      <c r="D69" s="20"/>
      <c r="E69" s="220" t="s">
        <v>75</v>
      </c>
      <c r="F69" s="117" t="s">
        <v>76</v>
      </c>
      <c r="G69" s="15"/>
    </row>
    <row r="70" spans="2:9" ht="19.5" customHeight="1">
      <c r="D70" s="13"/>
      <c r="E70" s="220" t="s">
        <v>77</v>
      </c>
      <c r="F70" s="1096" t="s">
        <v>78</v>
      </c>
      <c r="G70" s="11"/>
    </row>
    <row r="71" spans="2:9" ht="20.25" customHeight="1">
      <c r="D71" s="11"/>
      <c r="F71" s="55"/>
      <c r="G71" s="15"/>
    </row>
    <row r="72" spans="2:9" ht="19.5" customHeight="1">
      <c r="B72" s="32"/>
      <c r="D72" s="20"/>
      <c r="E72" s="19"/>
      <c r="F72" s="56"/>
      <c r="G72" s="15"/>
    </row>
    <row r="73" spans="2:9" ht="19.5" customHeight="1">
      <c r="B73" s="32"/>
      <c r="D73" s="20"/>
      <c r="E73" s="19"/>
      <c r="F73" s="56"/>
      <c r="G73" s="15"/>
    </row>
    <row r="74" spans="2:9" ht="19.5" customHeight="1">
      <c r="B74" s="32"/>
      <c r="D74" s="20"/>
      <c r="E74" s="22"/>
      <c r="F74" s="56"/>
      <c r="G74" s="15"/>
    </row>
    <row r="75" spans="2:9" ht="19.5" customHeight="1">
      <c r="B75" s="32"/>
      <c r="D75" s="20"/>
      <c r="E75" s="19"/>
      <c r="F75" s="56"/>
      <c r="G75" s="15"/>
    </row>
    <row r="78" spans="2:9" ht="11.25" customHeight="1">
      <c r="E78" s="219"/>
      <c r="F78" s="219"/>
      <c r="G78" s="219"/>
      <c r="H78" s="219"/>
      <c r="I78" s="219"/>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A48A92DD-ACD4-3393-3976-652685E3B98E}"/>
    <hyperlink ref="H17" location="Титульный!H9" tooltip="Помощь по работе с полями отчётной формы" display="Как заполнить?" xr:uid="{1E68A8DA-B936-652D-62C5-ADA215227C12}"/>
    <hyperlink ref="H39" location="Титульный!H9" tooltip="Помощь по работе с полями отчётной формы" display="Как заполнить?" xr:uid="{18FCA459-8693-E41C-C41C-4123D0FEE73F}"/>
    <hyperlink ref="H62" location="Титульный!H9" tooltip="Помощь по работе с полями отчётной формы" display="Как заполнить?" xr:uid="{46F41E98-B697-3C0A-1FA6-CF639648F93A}"/>
    <hyperlink ref="F70" r:id="rId1" xr:uid="{A7D43BD9-727F-5B79-91DE-BD1B12C595B9}"/>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EE255-9E8E-152F-BC58-9CEF379C702B}">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2" hidden="1" customWidth="1"/>
    <col min="2" max="2" width="6" style="63" hidden="1" customWidth="1"/>
    <col min="3" max="3" width="3.7109375" style="12" customWidth="1"/>
    <col min="4" max="4" width="3.7109375" style="76" customWidth="1"/>
    <col min="5" max="5" width="6.28515625" style="12" customWidth="1"/>
    <col min="6" max="6" width="2.7109375" style="12" hidden="1" customWidth="1"/>
    <col min="7" max="7" width="46.7109375" style="12" customWidth="1"/>
    <col min="8" max="8" width="43.140625" style="12" customWidth="1"/>
    <col min="9" max="9" width="14.85546875" style="12" customWidth="1"/>
    <col min="10" max="10" width="3.7109375" style="69" customWidth="1"/>
    <col min="11" max="13" width="9.140625" style="69" hidden="1"/>
    <col min="14" max="14" width="25.7109375" style="69" hidden="1" customWidth="1"/>
    <col min="15" max="15" width="14.42578125" style="69" hidden="1" customWidth="1"/>
    <col min="16" max="19" width="9.140625" style="124" hidden="1"/>
    <col min="20" max="27" width="9.140625" style="12" hidden="1"/>
    <col min="28" max="28" width="9.140625" style="12"/>
  </cols>
  <sheetData>
    <row r="1" spans="1:28" s="68" customFormat="1" ht="5.25" hidden="1" customHeight="1">
      <c r="A1" s="201"/>
      <c r="D1" s="120"/>
      <c r="G1" s="143" t="s">
        <v>79</v>
      </c>
      <c r="H1" s="120" t="s">
        <v>80</v>
      </c>
      <c r="I1" s="125" t="s">
        <v>81</v>
      </c>
      <c r="J1" s="143" t="s">
        <v>79</v>
      </c>
      <c r="K1" s="143"/>
      <c r="L1" s="143"/>
      <c r="M1" s="143"/>
      <c r="N1" s="143"/>
      <c r="O1" s="143"/>
      <c r="P1" s="143"/>
      <c r="Q1" s="143"/>
      <c r="R1" s="143"/>
      <c r="S1" s="143"/>
      <c r="T1" s="125"/>
      <c r="U1" s="125"/>
      <c r="V1" s="125"/>
      <c r="W1" s="125"/>
      <c r="X1" s="125"/>
      <c r="Y1" s="125"/>
      <c r="Z1" s="125"/>
      <c r="AA1" s="125"/>
      <c r="AB1" s="125"/>
    </row>
    <row r="2" spans="1:28" s="129" customFormat="1" ht="11.25" customHeight="1">
      <c r="A2" s="79"/>
      <c r="B2" s="126"/>
      <c r="C2" s="126"/>
      <c r="D2" s="127"/>
      <c r="E2" s="126"/>
      <c r="F2" s="126"/>
      <c r="G2" s="126"/>
      <c r="H2" s="126"/>
      <c r="I2" s="126"/>
      <c r="J2" s="143"/>
      <c r="K2" s="143"/>
      <c r="L2" s="143"/>
      <c r="M2" s="143"/>
      <c r="N2" s="143"/>
      <c r="O2" s="143"/>
      <c r="P2" s="128"/>
      <c r="Q2" s="128"/>
      <c r="R2" s="128"/>
      <c r="S2" s="128"/>
      <c r="T2" s="127"/>
      <c r="U2" s="127"/>
      <c r="V2" s="127"/>
      <c r="W2" s="127"/>
      <c r="X2" s="127"/>
      <c r="Y2" s="127"/>
      <c r="Z2" s="127"/>
      <c r="AA2" s="127"/>
      <c r="AB2" s="127"/>
    </row>
    <row r="3" spans="1:28" s="46" customFormat="1" ht="3" customHeight="1">
      <c r="A3" s="12"/>
      <c r="B3" s="63"/>
      <c r="C3" s="12"/>
      <c r="D3" s="76"/>
      <c r="E3" s="12"/>
      <c r="F3" s="12"/>
      <c r="G3" s="12"/>
      <c r="H3" s="12"/>
      <c r="I3" s="77"/>
      <c r="J3" s="143"/>
      <c r="K3" s="69"/>
      <c r="L3" s="69"/>
      <c r="M3" s="69"/>
      <c r="N3" s="69"/>
      <c r="O3" s="69"/>
      <c r="P3" s="124"/>
      <c r="Q3" s="124"/>
      <c r="R3" s="124"/>
      <c r="S3" s="124"/>
    </row>
    <row r="4" spans="1:28" s="46" customFormat="1" ht="25.5" customHeight="1">
      <c r="A4" s="12"/>
      <c r="B4" s="63"/>
      <c r="C4" s="12"/>
      <c r="D4" s="76"/>
      <c r="E4" s="1121" t="str">
        <f>NameTemplatesInListMO</f>
        <v>Перечень муниципальных районов и муниципальных образований (территорий оказания услуг)</v>
      </c>
      <c r="F4" s="1121"/>
      <c r="G4" s="1121"/>
      <c r="H4" s="1121"/>
      <c r="I4" s="1121"/>
      <c r="J4" s="143"/>
      <c r="K4" s="69"/>
      <c r="L4" s="69"/>
      <c r="M4" s="69"/>
      <c r="N4" s="69"/>
      <c r="O4" s="69"/>
      <c r="P4" s="124"/>
      <c r="Q4" s="124"/>
      <c r="R4" s="124"/>
      <c r="S4" s="124"/>
    </row>
    <row r="5" spans="1:28" s="46" customFormat="1" ht="3" customHeight="1">
      <c r="A5" s="12"/>
      <c r="B5" s="63"/>
      <c r="C5" s="12"/>
      <c r="D5" s="76"/>
      <c r="E5" s="12"/>
      <c r="F5" s="12"/>
      <c r="G5" s="78"/>
      <c r="H5" s="78"/>
      <c r="I5" s="79"/>
      <c r="J5" s="69"/>
      <c r="K5" s="69"/>
      <c r="L5" s="69"/>
      <c r="M5" s="69"/>
      <c r="N5" s="69"/>
      <c r="O5" s="69"/>
      <c r="P5" s="124"/>
      <c r="Q5" s="124"/>
      <c r="R5" s="124"/>
      <c r="S5" s="124"/>
    </row>
    <row r="6" spans="1:28" s="46" customFormat="1" ht="20.25" hidden="1" customHeight="1">
      <c r="A6" s="35"/>
      <c r="B6" s="62"/>
      <c r="C6" s="35"/>
      <c r="D6" s="76"/>
      <c r="E6" s="56"/>
      <c r="F6" s="56"/>
      <c r="G6" s="78"/>
      <c r="H6" s="80"/>
      <c r="I6" s="80"/>
      <c r="J6" s="69"/>
      <c r="K6" s="69"/>
      <c r="L6" s="69"/>
      <c r="M6" s="69"/>
      <c r="N6" s="69"/>
      <c r="O6" s="69"/>
      <c r="P6" s="124"/>
      <c r="Q6" s="124"/>
      <c r="R6" s="124"/>
      <c r="S6" s="124"/>
    </row>
    <row r="7" spans="1:28" ht="25.5" hidden="1" customHeight="1"/>
    <row r="8" spans="1:28" s="46" customFormat="1" ht="14.25" customHeight="1">
      <c r="A8" s="12"/>
      <c r="B8" s="63"/>
      <c r="C8" s="12"/>
      <c r="D8" s="76"/>
      <c r="E8" s="1117" t="s">
        <v>82</v>
      </c>
      <c r="F8" s="1122"/>
      <c r="G8" s="1116"/>
      <c r="H8" s="1123" t="s">
        <v>83</v>
      </c>
      <c r="I8" s="1123"/>
      <c r="J8" s="69"/>
      <c r="K8" s="69"/>
      <c r="L8" s="69"/>
      <c r="M8" s="69"/>
      <c r="N8" s="69"/>
      <c r="O8" s="69"/>
      <c r="P8" s="124"/>
      <c r="Q8" s="124"/>
      <c r="R8" s="124"/>
      <c r="S8" s="124"/>
    </row>
    <row r="9" spans="1:28" s="46" customFormat="1" ht="20.25" customHeight="1">
      <c r="A9" s="12"/>
      <c r="B9" s="63"/>
      <c r="C9" s="12"/>
      <c r="D9" s="76"/>
      <c r="E9" s="437" t="s">
        <v>84</v>
      </c>
      <c r="F9" s="437"/>
      <c r="G9" s="82" t="s">
        <v>85</v>
      </c>
      <c r="H9" s="82" t="s">
        <v>85</v>
      </c>
      <c r="I9" s="82" t="s">
        <v>81</v>
      </c>
      <c r="J9" s="69"/>
      <c r="K9" s="69"/>
      <c r="L9" s="69"/>
      <c r="M9" s="69"/>
      <c r="N9" s="69"/>
      <c r="O9" s="69"/>
      <c r="P9" s="124"/>
      <c r="Q9" s="124"/>
      <c r="R9" s="124"/>
      <c r="S9" s="124"/>
    </row>
    <row r="10" spans="1:28" ht="11.25" customHeight="1">
      <c r="D10" s="86"/>
      <c r="E10" s="122" t="s">
        <v>86</v>
      </c>
      <c r="F10" s="122"/>
      <c r="G10" s="122" t="s">
        <v>87</v>
      </c>
      <c r="H10" s="122" t="s">
        <v>88</v>
      </c>
      <c r="I10" s="122" t="s">
        <v>89</v>
      </c>
      <c r="J10" s="81"/>
      <c r="K10" s="81"/>
      <c r="L10" s="81"/>
      <c r="M10" s="81"/>
      <c r="N10" s="81"/>
      <c r="O10" s="81"/>
      <c r="P10" s="123"/>
      <c r="Q10" s="123"/>
      <c r="R10" s="123"/>
      <c r="S10" s="123"/>
    </row>
    <row r="11" spans="1:28" s="46" customFormat="1" ht="0.75" customHeight="1">
      <c r="A11" s="12"/>
      <c r="B11" s="63"/>
      <c r="C11" s="12"/>
      <c r="D11" s="76"/>
      <c r="E11" s="443"/>
      <c r="F11" s="443"/>
      <c r="G11" s="83"/>
      <c r="H11" s="83"/>
      <c r="I11" s="85"/>
      <c r="J11" s="144" t="s">
        <v>90</v>
      </c>
      <c r="K11" s="69"/>
      <c r="L11" s="69"/>
      <c r="M11" s="69" t="s">
        <v>91</v>
      </c>
      <c r="N11" s="69" t="s">
        <v>92</v>
      </c>
      <c r="O11" s="69" t="s">
        <v>93</v>
      </c>
      <c r="P11" s="124"/>
      <c r="Q11" s="124"/>
      <c r="R11" s="124"/>
      <c r="S11" s="124"/>
    </row>
    <row r="12" spans="1:28" s="46" customFormat="1" ht="14.25" customHeight="1">
      <c r="A12" s="1120">
        <v>1</v>
      </c>
      <c r="B12" s="63"/>
      <c r="C12" s="12"/>
      <c r="D12" s="76"/>
      <c r="E12" s="42">
        <f>A12</f>
        <v>1</v>
      </c>
      <c r="F12" s="314" t="s">
        <v>94</v>
      </c>
      <c r="G12" s="303" t="str">
        <f>"Территория "&amp;E12</f>
        <v>Территория 1</v>
      </c>
      <c r="H12" s="445"/>
      <c r="I12" s="445"/>
      <c r="J12" s="69"/>
      <c r="K12" s="69"/>
      <c r="L12" s="69"/>
      <c r="M12" s="69"/>
      <c r="N12" s="69"/>
      <c r="O12" s="69"/>
      <c r="P12" s="124"/>
      <c r="Q12" s="124"/>
      <c r="R12" s="124"/>
      <c r="S12" s="124"/>
    </row>
    <row r="13" spans="1:28" ht="15" customHeight="1">
      <c r="A13" s="1120"/>
      <c r="B13" s="63">
        <v>1</v>
      </c>
      <c r="C13" s="63"/>
      <c r="D13" s="452"/>
      <c r="E13" s="438" t="str">
        <f>A12&amp;"."&amp;B13</f>
        <v>1.1</v>
      </c>
      <c r="F13" s="448" t="s">
        <v>95</v>
      </c>
      <c r="G13" s="446" t="s">
        <v>96</v>
      </c>
      <c r="H13" s="446" t="s">
        <v>96</v>
      </c>
      <c r="I13" s="444" t="s">
        <v>97</v>
      </c>
      <c r="J13" s="69" t="e">
        <f ca="1">MERGEVALUE(G13)</f>
        <v>#NAME?</v>
      </c>
      <c r="K13" s="68"/>
      <c r="L13" s="68"/>
      <c r="M13" s="69" t="str">
        <f t="array" ref="M13">IF(ISERROR(MATCH(MID(N13,1,250),MID(note_ter,1,250),0)),"n","y")</f>
        <v>n</v>
      </c>
      <c r="N13" s="68"/>
      <c r="O13" s="69" t="str">
        <f>H13&amp;"("&amp;I13&amp;")"</f>
        <v>город Кировск(47522000)</v>
      </c>
      <c r="P13" s="63"/>
      <c r="Q13" s="63"/>
      <c r="R13" s="234"/>
      <c r="S13" s="63"/>
      <c r="T13" s="63"/>
      <c r="U13" s="63"/>
      <c r="V13" s="62"/>
      <c r="W13" s="62"/>
      <c r="X13" s="102"/>
      <c r="Y13" s="102"/>
      <c r="Z13" s="102"/>
      <c r="AA13" s="102"/>
      <c r="AB13" s="102"/>
    </row>
    <row r="14" spans="1:28" ht="15" customHeight="1">
      <c r="A14" s="1120"/>
      <c r="C14" s="233"/>
      <c r="D14" s="453"/>
      <c r="E14" s="235"/>
      <c r="F14" s="87"/>
      <c r="G14" s="108" t="s">
        <v>98</v>
      </c>
      <c r="H14" s="95"/>
      <c r="I14" s="236"/>
      <c r="J14" s="68"/>
      <c r="K14" s="68"/>
      <c r="L14" s="68"/>
      <c r="M14" s="68"/>
      <c r="O14" s="68"/>
      <c r="P14" s="63"/>
      <c r="Q14" s="63"/>
      <c r="R14" s="234"/>
      <c r="S14" s="63"/>
      <c r="T14" s="63"/>
      <c r="U14" s="63"/>
      <c r="V14" s="62"/>
      <c r="W14" s="62"/>
      <c r="X14" s="102"/>
      <c r="Y14" s="102"/>
      <c r="Z14" s="102"/>
      <c r="AA14" s="102"/>
      <c r="AB14" s="102"/>
    </row>
    <row r="15" spans="1:28" s="46" customFormat="1" ht="14.25" customHeight="1">
      <c r="A15" s="12"/>
      <c r="B15" s="63"/>
      <c r="C15" s="12"/>
      <c r="D15" s="76"/>
      <c r="E15" s="447"/>
      <c r="F15" s="88"/>
      <c r="G15" s="53" t="s">
        <v>99</v>
      </c>
      <c r="H15" s="88"/>
      <c r="I15" s="89"/>
      <c r="J15" s="144"/>
      <c r="K15" s="69"/>
      <c r="L15" s="69"/>
      <c r="M15" s="69"/>
      <c r="N15" s="69" t="s">
        <v>100</v>
      </c>
      <c r="O15" s="69"/>
      <c r="P15" s="124"/>
      <c r="Q15" s="124"/>
      <c r="R15" s="124"/>
      <c r="S15" s="124"/>
    </row>
    <row r="16" spans="1:28" s="46" customFormat="1" ht="21" customHeight="1">
      <c r="A16" s="12"/>
      <c r="B16" s="63"/>
      <c r="C16" s="12"/>
      <c r="D16" s="76"/>
      <c r="E16" s="90"/>
      <c r="F16" s="90"/>
      <c r="G16" s="90"/>
      <c r="H16" s="90"/>
      <c r="I16" s="90"/>
      <c r="J16" s="69"/>
      <c r="K16" s="69"/>
      <c r="L16" s="69"/>
      <c r="M16" s="69"/>
      <c r="N16" s="69"/>
      <c r="O16" s="69"/>
      <c r="P16" s="124"/>
      <c r="Q16" s="124"/>
      <c r="R16" s="124"/>
      <c r="S16" s="124"/>
    </row>
    <row r="17" spans="1:19" s="46" customFormat="1" ht="14.25" customHeight="1">
      <c r="A17" s="12"/>
      <c r="B17" s="63"/>
      <c r="C17" s="12"/>
      <c r="D17" s="76"/>
      <c r="E17" s="12"/>
      <c r="F17" s="12"/>
      <c r="G17" s="12"/>
      <c r="H17" s="12"/>
      <c r="I17" s="12"/>
      <c r="J17" s="69"/>
      <c r="K17" s="69"/>
      <c r="L17" s="69"/>
      <c r="M17" s="69"/>
      <c r="N17" s="69"/>
      <c r="O17" s="69"/>
      <c r="P17" s="124"/>
      <c r="Q17" s="124"/>
      <c r="R17" s="124"/>
      <c r="S17" s="124"/>
    </row>
    <row r="18" spans="1:19" s="46" customFormat="1" ht="0.75" customHeight="1">
      <c r="A18" s="12"/>
      <c r="B18" s="63"/>
      <c r="C18" s="12"/>
      <c r="D18" s="76"/>
      <c r="E18" s="12"/>
      <c r="F18" s="12"/>
      <c r="G18" s="12"/>
      <c r="H18" s="12"/>
      <c r="I18" s="12"/>
      <c r="J18" s="69"/>
      <c r="K18" s="69"/>
      <c r="L18" s="69"/>
      <c r="M18" s="69"/>
      <c r="N18" s="69"/>
      <c r="O18" s="69"/>
      <c r="P18" s="124"/>
      <c r="Q18" s="124"/>
      <c r="R18" s="124"/>
      <c r="S18" s="124"/>
    </row>
    <row r="19" spans="1:19" s="91" customFormat="1" ht="10.5" customHeight="1">
      <c r="B19" s="466"/>
      <c r="D19" s="92"/>
      <c r="J19" s="69"/>
      <c r="K19" s="69"/>
      <c r="L19" s="69"/>
      <c r="M19" s="69"/>
      <c r="N19" s="69"/>
      <c r="O19" s="69"/>
      <c r="P19" s="124"/>
      <c r="Q19" s="124"/>
      <c r="R19" s="124"/>
      <c r="S19" s="124"/>
    </row>
    <row r="20" spans="1:19" s="91" customFormat="1" ht="10.5" customHeight="1">
      <c r="B20" s="466"/>
      <c r="D20" s="92"/>
      <c r="J20" s="69"/>
      <c r="K20" s="69"/>
      <c r="L20" s="69"/>
      <c r="M20" s="69"/>
      <c r="N20" s="69"/>
      <c r="O20" s="69"/>
      <c r="P20" s="124"/>
      <c r="Q20" s="124"/>
      <c r="R20" s="124"/>
      <c r="S20" s="124"/>
    </row>
    <row r="24" spans="1:19" ht="14.25" customHeight="1">
      <c r="H24" s="2"/>
    </row>
    <row r="28" spans="1:19" ht="14.25" customHeight="1">
      <c r="J28" s="12"/>
      <c r="K28" s="12"/>
      <c r="L28" s="12"/>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5171C-842F-25F9-C6EC-7B904A86780D}">
  <sheetPr>
    <tabColor rgb="FFCCCCFF"/>
  </sheetPr>
  <dimension ref="A1:AL17"/>
  <sheetViews>
    <sheetView showGridLines="0" topLeftCell="C3" zoomScale="90" workbookViewId="0">
      <selection activeCell="M17" sqref="M17"/>
    </sheetView>
  </sheetViews>
  <sheetFormatPr defaultColWidth="9.140625" defaultRowHeight="11.25" customHeight="1"/>
  <cols>
    <col min="1" max="1" width="6.42578125" style="36" hidden="1" customWidth="1"/>
    <col min="2" max="2" width="2" style="36" hidden="1" customWidth="1"/>
    <col min="3" max="3" width="3.7109375" style="36" customWidth="1"/>
    <col min="4" max="4" width="4.28515625" style="36" customWidth="1"/>
    <col min="5" max="5" width="45" style="36" customWidth="1"/>
    <col min="6" max="6" width="6.42578125" style="36" customWidth="1"/>
    <col min="7" max="7" width="4.42578125" style="36" customWidth="1"/>
    <col min="8" max="8" width="5.5703125" style="36" customWidth="1"/>
    <col min="9" max="9" width="52.85546875" style="36" customWidth="1"/>
    <col min="10" max="10" width="7" style="36" customWidth="1"/>
    <col min="11" max="11" width="3.7109375" style="36" customWidth="1"/>
    <col min="12" max="12" width="6.28515625" style="36" customWidth="1"/>
    <col min="13" max="13" width="56.28515625" style="36" customWidth="1"/>
    <col min="14" max="14" width="9.140625" style="81"/>
    <col min="15" max="20" width="9.140625" style="69" hidden="1"/>
    <col min="21" max="24" width="9.140625" style="18" hidden="1"/>
    <col min="25" max="37" width="9.140625" style="81" hidden="1"/>
    <col min="38" max="38" width="9.140625" style="81"/>
  </cols>
  <sheetData>
    <row r="1" spans="1:38" ht="11.25" hidden="1" customHeight="1"/>
    <row r="2" spans="1:38" ht="11.25" hidden="1" customHeight="1"/>
    <row r="4" spans="1:38" ht="34.5" customHeight="1">
      <c r="A4" s="18"/>
      <c r="B4" s="18"/>
      <c r="D4" s="1139"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140"/>
      <c r="F4" s="1140"/>
      <c r="G4" s="1140"/>
      <c r="H4" s="1140"/>
      <c r="I4" s="1141"/>
      <c r="J4" s="81"/>
      <c r="K4" s="81"/>
      <c r="L4" s="81"/>
      <c r="M4" s="81"/>
    </row>
    <row r="5" spans="1:38" s="43" customFormat="1" ht="15" customHeight="1">
      <c r="A5" s="18"/>
      <c r="B5" s="18"/>
      <c r="C5" s="18"/>
      <c r="D5" s="1142" t="str">
        <f>IF(org=0,"Не определено",org)</f>
        <v>АО "ХТК"</v>
      </c>
      <c r="E5" s="1143"/>
      <c r="F5" s="1143"/>
      <c r="G5" s="1143"/>
      <c r="H5" s="1143"/>
      <c r="I5" s="1144"/>
      <c r="J5" s="335"/>
      <c r="K5" s="335"/>
      <c r="L5" s="335"/>
      <c r="M5" s="335"/>
      <c r="N5" s="335"/>
      <c r="O5" s="70"/>
      <c r="P5" s="70"/>
      <c r="Q5" s="70"/>
      <c r="R5" s="70"/>
      <c r="S5" s="70"/>
      <c r="T5" s="70"/>
      <c r="U5" s="720"/>
      <c r="V5" s="720"/>
      <c r="W5" s="720"/>
      <c r="X5" s="720"/>
      <c r="Y5" s="335"/>
      <c r="Z5" s="335"/>
      <c r="AA5" s="335"/>
      <c r="AB5" s="335"/>
      <c r="AC5" s="335"/>
      <c r="AD5" s="335"/>
      <c r="AE5" s="335"/>
      <c r="AF5" s="335"/>
      <c r="AG5" s="335"/>
      <c r="AH5" s="335"/>
      <c r="AI5" s="335"/>
      <c r="AJ5" s="335"/>
      <c r="AK5" s="335"/>
      <c r="AL5" s="335"/>
    </row>
    <row r="6" spans="1:38" s="43" customFormat="1" ht="6" customHeight="1">
      <c r="A6" s="1120"/>
      <c r="B6" s="1120"/>
      <c r="C6" s="1120"/>
      <c r="D6" s="1120"/>
      <c r="E6" s="1120"/>
      <c r="F6" s="1120"/>
      <c r="G6" s="12"/>
      <c r="H6" s="12"/>
      <c r="I6" s="12"/>
      <c r="J6" s="12"/>
      <c r="K6" s="12"/>
      <c r="N6" s="335"/>
      <c r="O6" s="70"/>
      <c r="P6" s="70"/>
      <c r="Q6" s="70"/>
      <c r="R6" s="70"/>
      <c r="S6" s="70"/>
      <c r="T6" s="70"/>
      <c r="U6" s="720"/>
      <c r="V6" s="720"/>
      <c r="W6" s="720"/>
      <c r="X6" s="720"/>
      <c r="Y6" s="335"/>
      <c r="Z6" s="335"/>
      <c r="AA6" s="335"/>
      <c r="AB6" s="335"/>
      <c r="AC6" s="335"/>
      <c r="AD6" s="335"/>
      <c r="AE6" s="335"/>
      <c r="AF6" s="335"/>
      <c r="AG6" s="335"/>
      <c r="AH6" s="335"/>
      <c r="AI6" s="335"/>
      <c r="AJ6" s="335"/>
      <c r="AK6" s="335"/>
      <c r="AL6" s="335"/>
    </row>
    <row r="7" spans="1:38" ht="45.75" hidden="1" customHeight="1">
      <c r="E7" s="114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0"/>
      <c r="G7" s="1150"/>
      <c r="H7" s="1150"/>
      <c r="I7" s="1150"/>
      <c r="J7" s="1150"/>
      <c r="K7" s="1150"/>
      <c r="L7" s="1150"/>
      <c r="M7" s="1150"/>
    </row>
    <row r="8" spans="1:38" s="43" customFormat="1" ht="6" customHeight="1">
      <c r="A8" s="114"/>
      <c r="B8" s="114"/>
      <c r="C8" s="114"/>
      <c r="D8" s="114"/>
      <c r="E8" s="114"/>
      <c r="F8" s="114"/>
      <c r="G8" s="114"/>
      <c r="H8" s="114"/>
      <c r="I8" s="114"/>
      <c r="J8" s="114"/>
      <c r="K8" s="114"/>
      <c r="L8" s="114"/>
      <c r="N8" s="335"/>
      <c r="O8" s="70"/>
      <c r="P8" s="70"/>
      <c r="Q8" s="70"/>
      <c r="R8" s="70"/>
      <c r="S8" s="70"/>
      <c r="T8" s="70"/>
      <c r="U8" s="720"/>
      <c r="V8" s="720"/>
      <c r="W8" s="720"/>
      <c r="X8" s="720"/>
      <c r="Y8" s="335"/>
      <c r="Z8" s="335"/>
      <c r="AA8" s="335"/>
      <c r="AB8" s="335"/>
      <c r="AC8" s="335"/>
      <c r="AD8" s="335"/>
      <c r="AE8" s="335"/>
      <c r="AF8" s="335"/>
      <c r="AG8" s="335"/>
      <c r="AH8" s="335"/>
      <c r="AI8" s="335"/>
      <c r="AJ8" s="335"/>
      <c r="AK8" s="335"/>
      <c r="AL8" s="335"/>
    </row>
    <row r="9" spans="1:38" ht="18" customHeight="1">
      <c r="A9" s="1145"/>
      <c r="B9" s="12"/>
      <c r="C9" s="12"/>
      <c r="D9" s="1146" t="s">
        <v>101</v>
      </c>
      <c r="E9" s="1146"/>
      <c r="F9" s="1147" t="s">
        <v>102</v>
      </c>
      <c r="G9" s="1148"/>
      <c r="H9" s="1148"/>
      <c r="I9" s="1148"/>
      <c r="J9" s="1151" t="s">
        <v>103</v>
      </c>
      <c r="K9" s="1151"/>
      <c r="L9" s="1151"/>
      <c r="M9" s="1151"/>
    </row>
    <row r="10" spans="1:38" ht="22.5" customHeight="1">
      <c r="A10" s="1145"/>
      <c r="B10" s="59"/>
      <c r="C10" s="296"/>
      <c r="D10" s="42" t="s">
        <v>84</v>
      </c>
      <c r="E10" s="42" t="s">
        <v>85</v>
      </c>
      <c r="F10" s="42" t="s">
        <v>104</v>
      </c>
      <c r="G10" s="1152" t="s">
        <v>84</v>
      </c>
      <c r="H10" s="1153"/>
      <c r="I10" s="42" t="s">
        <v>85</v>
      </c>
      <c r="J10" s="42" t="s">
        <v>104</v>
      </c>
      <c r="K10" s="1152" t="s">
        <v>84</v>
      </c>
      <c r="L10" s="1153"/>
      <c r="M10" s="42" t="s">
        <v>85</v>
      </c>
      <c r="N10" s="457"/>
    </row>
    <row r="11" spans="1:38" s="36" customFormat="1" ht="11.25" hidden="1" customHeight="1">
      <c r="A11" s="336"/>
      <c r="B11" s="336"/>
      <c r="C11" s="336"/>
      <c r="D11" s="337" t="s">
        <v>105</v>
      </c>
      <c r="E11" s="337" t="s">
        <v>106</v>
      </c>
      <c r="F11" s="337" t="s">
        <v>86</v>
      </c>
      <c r="G11" s="1135" t="s">
        <v>87</v>
      </c>
      <c r="H11" s="1136"/>
      <c r="I11" s="337" t="s">
        <v>107</v>
      </c>
      <c r="J11" s="337" t="s">
        <v>88</v>
      </c>
      <c r="K11" s="1137" t="s">
        <v>89</v>
      </c>
      <c r="L11" s="1138"/>
      <c r="M11" s="337" t="s">
        <v>108</v>
      </c>
      <c r="N11" s="457"/>
      <c r="O11" s="69"/>
      <c r="P11" s="69"/>
      <c r="Q11" s="69"/>
      <c r="R11" s="69"/>
      <c r="S11" s="69"/>
      <c r="T11" s="69"/>
      <c r="U11" s="18"/>
      <c r="V11" s="18"/>
      <c r="W11" s="18"/>
      <c r="X11" s="18"/>
      <c r="Y11" s="81"/>
      <c r="Z11" s="81"/>
      <c r="AA11" s="81"/>
      <c r="AB11" s="81"/>
      <c r="AC11" s="81"/>
      <c r="AD11" s="81"/>
      <c r="AE11" s="81"/>
      <c r="AF11" s="81"/>
      <c r="AG11" s="81"/>
      <c r="AH11" s="81"/>
      <c r="AI11" s="81"/>
      <c r="AJ11" s="81"/>
      <c r="AK11" s="81"/>
      <c r="AL11" s="81"/>
    </row>
    <row r="12" spans="1:38" ht="0.75" customHeight="1">
      <c r="A12" s="338"/>
      <c r="B12" s="59"/>
      <c r="C12" s="59"/>
      <c r="D12" s="339"/>
      <c r="E12" s="211"/>
      <c r="F12" s="211"/>
      <c r="G12" s="611"/>
      <c r="H12" s="611"/>
      <c r="I12" s="211"/>
      <c r="J12" s="211"/>
      <c r="K12" s="84"/>
      <c r="L12" s="211"/>
      <c r="M12" s="340"/>
      <c r="N12" s="457"/>
      <c r="O12" s="69" t="s">
        <v>109</v>
      </c>
      <c r="P12" s="69" t="s">
        <v>110</v>
      </c>
      <c r="Q12" s="69" t="s">
        <v>111</v>
      </c>
      <c r="R12" s="69" t="s">
        <v>112</v>
      </c>
    </row>
    <row r="13" spans="1:38" s="36" customFormat="1" ht="15" customHeight="1">
      <c r="A13"/>
      <c r="B13"/>
      <c r="C13" s="76"/>
      <c r="D13" s="1128" t="s">
        <v>105</v>
      </c>
      <c r="E13" s="1129" t="str">
        <f>INDEX(VD_NAME_LIST,MATCH("4190068",VD_ID_LIST,0))</f>
        <v>Передача. Тепловая энергия</v>
      </c>
      <c r="F13" s="1132" t="s">
        <v>62</v>
      </c>
      <c r="G13" s="1133"/>
      <c r="H13" s="1134">
        <v>1</v>
      </c>
      <c r="I13" s="1124" t="str">
        <f>IF(U13="","",INDEX(TERRITORY_MR_LIST,MATCH(U13,TERRITORY_LIST_ID,0)))</f>
        <v>Территория 1</v>
      </c>
      <c r="J13" s="1127" t="s">
        <v>62</v>
      </c>
      <c r="K13" s="341"/>
      <c r="L13" s="44" t="s">
        <v>105</v>
      </c>
      <c r="M13" s="456" t="s">
        <v>113</v>
      </c>
      <c r="N13" s="457"/>
      <c r="O13" s="69" t="s">
        <v>114</v>
      </c>
      <c r="P13" s="69" t="str">
        <f>$E$13</f>
        <v>Передача. Тепловая энергия</v>
      </c>
      <c r="Q13" s="69" t="str">
        <f>IF($F$13="нет","без дифференциации",$I$13)</f>
        <v>Территория 1</v>
      </c>
      <c r="R13" s="69" t="str">
        <f>IF($J$13="нет","без дифференциации",M13)</f>
        <v>система теплоснабжения г. Кировск</v>
      </c>
      <c r="S13" s="69"/>
      <c r="T13" s="69"/>
      <c r="U13" s="18" t="s">
        <v>94</v>
      </c>
      <c r="V13" s="18" t="s">
        <v>115</v>
      </c>
      <c r="W13" s="18"/>
      <c r="X13" s="18"/>
      <c r="Y13" s="81" t="s">
        <v>116</v>
      </c>
      <c r="Z13" s="81">
        <v>1705000</v>
      </c>
      <c r="AA13" s="81"/>
      <c r="AB13" s="81"/>
      <c r="AC13" s="81"/>
      <c r="AD13" s="81"/>
      <c r="AE13" s="81"/>
      <c r="AF13" s="81"/>
      <c r="AG13" s="81"/>
      <c r="AH13" s="81"/>
      <c r="AI13" s="81"/>
      <c r="AJ13" s="81"/>
      <c r="AK13" s="81"/>
      <c r="AL13" s="81"/>
    </row>
    <row r="14" spans="1:38" ht="15" customHeight="1">
      <c r="A14"/>
      <c r="B14"/>
      <c r="C14" s="86"/>
      <c r="D14" s="1125"/>
      <c r="E14" s="1125"/>
      <c r="F14" s="1125"/>
      <c r="G14" s="1125"/>
      <c r="H14" s="1125"/>
      <c r="I14" s="1125"/>
      <c r="J14" s="1125"/>
      <c r="K14" s="971" t="s">
        <v>117</v>
      </c>
      <c r="L14" s="928" t="s">
        <v>106</v>
      </c>
      <c r="M14" s="456" t="s">
        <v>118</v>
      </c>
      <c r="N14" s="457"/>
      <c r="O14" s="81" t="s">
        <v>119</v>
      </c>
      <c r="P14" s="81" t="str">
        <f>$E$13</f>
        <v>Передача. Тепловая энергия</v>
      </c>
      <c r="Q14" s="81" t="str">
        <f>IF($F$13="нет","без дифференциации",$I$13)</f>
        <v>Территория 1</v>
      </c>
      <c r="R14" s="81" t="str">
        <f>IF($J$14="нет","без дифференциации",$M$14)</f>
        <v>система теплоснабжения н.п. Титан</v>
      </c>
      <c r="S14" s="81"/>
      <c r="T14" s="81"/>
      <c r="U14" s="343"/>
      <c r="V14" s="81"/>
      <c r="W14" s="81"/>
      <c r="X14" s="81"/>
      <c r="Y14" s="81" t="s">
        <v>116</v>
      </c>
      <c r="Z14" s="81">
        <v>1705000</v>
      </c>
    </row>
    <row r="15" spans="1:38" s="36" customFormat="1" ht="15" customHeight="1">
      <c r="A15"/>
      <c r="B15"/>
      <c r="C15" s="86"/>
      <c r="D15" s="1128"/>
      <c r="E15" s="1130"/>
      <c r="F15" s="1127"/>
      <c r="G15" s="1133"/>
      <c r="H15" s="1134"/>
      <c r="I15" s="1126"/>
      <c r="J15" s="1127"/>
      <c r="K15" s="235"/>
      <c r="L15" s="87"/>
      <c r="M15" s="344" t="s">
        <v>120</v>
      </c>
      <c r="N15" s="457"/>
      <c r="O15" s="69"/>
      <c r="P15" s="69"/>
      <c r="Q15" s="69"/>
      <c r="R15" s="69"/>
      <c r="S15" s="69"/>
      <c r="T15" s="69"/>
      <c r="U15" s="18"/>
      <c r="V15" s="18"/>
      <c r="W15" s="18"/>
      <c r="X15" s="18"/>
      <c r="Y15" s="81"/>
      <c r="Z15" s="81"/>
      <c r="AA15" s="81"/>
      <c r="AB15" s="81"/>
      <c r="AC15" s="81"/>
      <c r="AD15" s="81"/>
      <c r="AE15" s="81"/>
      <c r="AF15" s="81"/>
      <c r="AG15" s="81"/>
      <c r="AH15" s="81"/>
      <c r="AI15" s="81"/>
      <c r="AJ15" s="81"/>
      <c r="AK15" s="81"/>
      <c r="AL15" s="81"/>
    </row>
    <row r="16" spans="1:38" s="36" customFormat="1" ht="15" customHeight="1">
      <c r="A16"/>
      <c r="B16"/>
      <c r="C16" s="86"/>
      <c r="D16" s="1128"/>
      <c r="E16" s="1131"/>
      <c r="F16" s="1127"/>
      <c r="G16" s="612"/>
      <c r="H16" s="613"/>
      <c r="I16" s="108" t="s">
        <v>121</v>
      </c>
      <c r="J16" s="87"/>
      <c r="K16" s="87"/>
      <c r="L16" s="87"/>
      <c r="M16" s="345"/>
      <c r="N16" s="457"/>
      <c r="O16" s="69"/>
      <c r="P16" s="69"/>
      <c r="Q16" s="69"/>
      <c r="R16" s="69"/>
      <c r="S16" s="69"/>
      <c r="T16" s="69"/>
      <c r="U16" s="18"/>
      <c r="V16" s="18"/>
      <c r="W16" s="18"/>
      <c r="X16" s="18"/>
      <c r="Y16" s="81"/>
      <c r="Z16" s="81"/>
      <c r="AA16" s="81"/>
      <c r="AB16" s="81"/>
      <c r="AC16" s="81"/>
      <c r="AD16" s="81"/>
      <c r="AE16" s="81"/>
      <c r="AF16" s="81"/>
      <c r="AG16" s="81"/>
      <c r="AH16" s="81"/>
      <c r="AI16" s="81"/>
      <c r="AJ16" s="81"/>
      <c r="AK16" s="81"/>
      <c r="AL16" s="81"/>
    </row>
    <row r="17" spans="1:14" ht="15" customHeight="1">
      <c r="A17" s="346"/>
      <c r="B17" s="34"/>
      <c r="C17" s="56"/>
      <c r="D17" s="235"/>
      <c r="E17" s="109" t="s">
        <v>122</v>
      </c>
      <c r="F17" s="87"/>
      <c r="G17" s="87"/>
      <c r="H17" s="87"/>
      <c r="I17" s="87"/>
      <c r="J17" s="87"/>
      <c r="K17" s="87" t="s">
        <v>18</v>
      </c>
      <c r="L17" s="87"/>
      <c r="M17" s="345"/>
      <c r="N17" s="457"/>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16"/>
    <mergeCell ref="E13:E16"/>
    <mergeCell ref="F13:F16"/>
    <mergeCell ref="G13:G15"/>
    <mergeCell ref="H13:H15"/>
  </mergeCells>
  <dataValidations count="3">
    <dataValidation type="textLength" operator="lessThanOrEqual" allowBlank="1" showInputMessage="1" showErrorMessage="1" errorTitle="Ошибка" error="Допускается ввод не более 900 символов!" sqref="M14" xr:uid="{00000000-0002-0000-0300-000000000000}">
      <formula1>900</formula1>
    </dataValidation>
    <dataValidation type="list" allowBlank="1" showInputMessage="1" showErrorMessage="1" sqref="I14" xr:uid="{00000000-0002-0000-0300-000001000000}">
      <formula1>DESCRIPTION_TERRITORY</formula1>
    </dataValidation>
    <dataValidation type="textLength" operator="lessThan" allowBlank="1" showInputMessage="1" showErrorMessage="1" error="Допускается ввод не более 900 символов!" sqref="M13" xr:uid="{00000000-0002-0000-03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F356B-551F-2111-A5F9-05A183C6A3C2}">
  <sheetPr>
    <tabColor rgb="FFCCCCFF"/>
  </sheetPr>
  <dimension ref="A1:AQ135"/>
  <sheetViews>
    <sheetView showGridLines="0" topLeftCell="C4" zoomScale="90" workbookViewId="0"/>
  </sheetViews>
  <sheetFormatPr defaultColWidth="9.140625" defaultRowHeight="11.25" customHeight="1"/>
  <cols>
    <col min="1" max="2" width="3.7109375" style="69" hidden="1" customWidth="1"/>
    <col min="3" max="3" width="3.7109375" style="36" customWidth="1"/>
    <col min="4" max="4" width="6.140625" style="36" customWidth="1"/>
    <col min="5" max="5" width="43.140625" style="36" customWidth="1"/>
    <col min="6" max="6" width="15" style="36" customWidth="1"/>
    <col min="7" max="7" width="43.140625" style="36" customWidth="1"/>
    <col min="8" max="8" width="3.7109375" style="36" customWidth="1"/>
    <col min="9" max="9" width="5.42578125" style="36" customWidth="1"/>
    <col min="10" max="10" width="47.85546875" style="36" customWidth="1"/>
    <col min="11" max="12" width="3.7109375" style="36" customWidth="1"/>
    <col min="13" max="13" width="5.7109375" style="36" customWidth="1"/>
    <col min="14" max="14" width="28.140625" style="36" customWidth="1"/>
    <col min="15" max="16" width="3.7109375" style="36" customWidth="1"/>
    <col min="17" max="17" width="5.7109375" style="36" customWidth="1"/>
    <col min="18" max="18" width="34.42578125" style="36" customWidth="1"/>
    <col min="19" max="20" width="3.7109375" style="36" customWidth="1"/>
    <col min="21" max="21" width="5.7109375" style="36" customWidth="1"/>
    <col min="22" max="22" width="34.42578125" style="36" customWidth="1"/>
    <col min="23" max="23" width="30.7109375" style="36" customWidth="1"/>
    <col min="24" max="24" width="3.7109375" style="36" customWidth="1"/>
    <col min="25" max="28" width="9.85546875" style="18" hidden="1" customWidth="1"/>
    <col min="29" max="29" width="27" style="18" hidden="1" customWidth="1"/>
    <col min="30" max="30" width="10.5703125" style="18" hidden="1" customWidth="1"/>
    <col min="31" max="31" width="10.7109375" style="18" hidden="1" customWidth="1"/>
    <col min="32" max="32" width="10" style="18" hidden="1" customWidth="1"/>
    <col min="33" max="33" width="12.85546875" style="18" hidden="1" customWidth="1"/>
    <col min="34" max="34" width="24.42578125" style="18" hidden="1" customWidth="1"/>
    <col min="35" max="35" width="15.85546875" style="18" hidden="1" customWidth="1"/>
    <col min="36" max="36" width="19.42578125" style="18" hidden="1" customWidth="1"/>
    <col min="37" max="37" width="11" style="18" hidden="1" customWidth="1"/>
    <col min="38" max="38" width="23.5703125" style="18" hidden="1" customWidth="1"/>
    <col min="39" max="39" width="23.85546875" style="18" hidden="1" customWidth="1"/>
    <col min="40" max="40" width="25.28515625" style="18" hidden="1" customWidth="1"/>
    <col min="41" max="41" width="16.85546875" style="18" hidden="1" customWidth="1"/>
    <col min="42" max="42" width="29.5703125" style="18" hidden="1" customWidth="1"/>
    <col min="43" max="43" width="29.85546875" style="18" hidden="1" customWidth="1"/>
  </cols>
  <sheetData>
    <row r="1" spans="1:43" ht="11.25" hidden="1" customHeight="1"/>
    <row r="2" spans="1:43" ht="11.25" hidden="1" customHeight="1"/>
    <row r="3" spans="1:43" ht="11.25" hidden="1" customHeight="1"/>
    <row r="4" spans="1:43" ht="3" customHeight="1"/>
    <row r="5" spans="1:43" s="43" customFormat="1" ht="29.25" customHeight="1">
      <c r="A5" s="70"/>
      <c r="B5" s="70"/>
      <c r="D5" s="117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176"/>
      <c r="F5" s="1176"/>
      <c r="G5" s="1176"/>
      <c r="H5" s="1176"/>
      <c r="I5" s="1176"/>
      <c r="J5" s="1177"/>
      <c r="K5" s="154"/>
      <c r="L5" s="60"/>
      <c r="M5" s="60"/>
      <c r="N5" s="60"/>
      <c r="O5" s="60"/>
      <c r="P5" s="60"/>
      <c r="Q5" s="60"/>
      <c r="R5" s="60"/>
      <c r="S5" s="60"/>
      <c r="T5" s="60"/>
      <c r="U5" s="60"/>
      <c r="V5" s="60"/>
      <c r="W5" s="60"/>
      <c r="Y5" s="720"/>
      <c r="Z5" s="720"/>
      <c r="AA5" s="720"/>
      <c r="AB5" s="720"/>
      <c r="AC5" s="720"/>
      <c r="AD5" s="720"/>
      <c r="AE5" s="720"/>
      <c r="AF5" s="720"/>
      <c r="AG5" s="720"/>
      <c r="AH5" s="720"/>
      <c r="AI5" s="720"/>
      <c r="AJ5" s="720"/>
      <c r="AK5" s="720"/>
      <c r="AL5" s="720"/>
      <c r="AM5" s="720"/>
      <c r="AN5" s="720"/>
      <c r="AO5" s="720"/>
      <c r="AP5" s="720"/>
      <c r="AQ5" s="720"/>
    </row>
    <row r="6" spans="1:43" s="43" customFormat="1" ht="15" customHeight="1">
      <c r="A6" s="18"/>
      <c r="B6" s="18"/>
      <c r="C6" s="18"/>
      <c r="D6" s="1181" t="str">
        <f>IF(org=0,"Не определено",org)</f>
        <v>АО "ХТК"</v>
      </c>
      <c r="E6" s="1181"/>
      <c r="F6" s="1181"/>
      <c r="G6" s="1181"/>
      <c r="H6" s="1181"/>
      <c r="I6" s="1181"/>
      <c r="J6" s="1181"/>
      <c r="K6" s="335"/>
      <c r="L6" s="335"/>
      <c r="M6" s="335"/>
      <c r="N6" s="335"/>
      <c r="O6" s="70"/>
      <c r="P6" s="70"/>
      <c r="Q6" s="70"/>
      <c r="R6" s="70"/>
      <c r="S6" s="70"/>
      <c r="T6" s="70"/>
      <c r="U6" s="70"/>
      <c r="V6" s="70"/>
      <c r="W6" s="70"/>
      <c r="X6" s="335"/>
      <c r="Y6" s="720"/>
      <c r="Z6" s="720"/>
      <c r="AA6" s="720"/>
      <c r="AB6" s="720"/>
      <c r="AC6" s="720"/>
      <c r="AD6" s="720"/>
      <c r="AE6" s="720"/>
      <c r="AF6" s="720"/>
      <c r="AG6" s="720"/>
      <c r="AH6" s="720"/>
      <c r="AI6" s="720"/>
      <c r="AJ6" s="720"/>
      <c r="AK6" s="720"/>
      <c r="AL6" s="720"/>
      <c r="AM6" s="720"/>
      <c r="AN6" s="720"/>
      <c r="AO6" s="720"/>
      <c r="AP6" s="720"/>
      <c r="AQ6" s="720"/>
    </row>
    <row r="7" spans="1:43" s="160" customFormat="1" ht="11.25" customHeight="1">
      <c r="A7" s="69"/>
      <c r="B7" s="69"/>
      <c r="D7" s="1178"/>
      <c r="E7" s="1179"/>
      <c r="F7" s="1179"/>
      <c r="G7" s="1179"/>
      <c r="H7" s="1179"/>
      <c r="I7" s="1179"/>
      <c r="J7" s="1180"/>
      <c r="Y7" s="18"/>
      <c r="Z7" s="18"/>
      <c r="AA7" s="18"/>
      <c r="AB7" s="18"/>
      <c r="AC7" s="18"/>
      <c r="AD7" s="18"/>
      <c r="AE7" s="18"/>
      <c r="AF7" s="18"/>
      <c r="AG7" s="18"/>
      <c r="AH7" s="18"/>
      <c r="AI7" s="18"/>
      <c r="AJ7" s="18"/>
      <c r="AK7" s="18"/>
      <c r="AL7" s="18"/>
      <c r="AM7" s="18"/>
      <c r="AN7" s="18"/>
      <c r="AO7" s="18"/>
      <c r="AP7" s="18"/>
      <c r="AQ7" s="18"/>
    </row>
    <row r="8" spans="1:43" s="43" customFormat="1" ht="0.75" customHeight="1">
      <c r="A8" s="70"/>
      <c r="B8" s="70"/>
      <c r="D8" s="114"/>
      <c r="E8" s="114"/>
      <c r="F8" s="114"/>
      <c r="G8" s="114"/>
      <c r="H8" s="114"/>
      <c r="I8" s="114"/>
      <c r="J8" s="114"/>
      <c r="K8" s="114"/>
      <c r="L8" s="114"/>
      <c r="M8" s="114"/>
      <c r="N8" s="114"/>
      <c r="O8" s="114"/>
      <c r="P8" s="114"/>
      <c r="Q8" s="114"/>
      <c r="R8" s="114"/>
      <c r="S8" s="114"/>
      <c r="T8" s="114"/>
      <c r="U8" s="114"/>
      <c r="V8" s="114"/>
      <c r="W8" s="114"/>
      <c r="Y8" s="720"/>
      <c r="Z8" s="720"/>
      <c r="AA8" s="720"/>
      <c r="AB8" s="720"/>
      <c r="AC8" s="720"/>
      <c r="AD8" s="720"/>
      <c r="AE8" s="720"/>
      <c r="AF8" s="720"/>
      <c r="AG8" s="720"/>
      <c r="AH8" s="720"/>
      <c r="AI8" s="720"/>
      <c r="AJ8" s="720"/>
      <c r="AK8" s="720"/>
      <c r="AL8" s="720"/>
      <c r="AM8" s="720"/>
      <c r="AN8" s="720"/>
      <c r="AO8" s="720"/>
      <c r="AP8" s="720"/>
      <c r="AQ8" s="720"/>
    </row>
    <row r="9" spans="1:43" ht="27" customHeight="1">
      <c r="D9" s="1146" t="s">
        <v>84</v>
      </c>
      <c r="E9" s="1117" t="s">
        <v>123</v>
      </c>
      <c r="F9" s="1116"/>
      <c r="G9" s="1146" t="s">
        <v>101</v>
      </c>
      <c r="H9" s="1146" t="s">
        <v>84</v>
      </c>
      <c r="I9" s="1146"/>
      <c r="J9" s="1146" t="s">
        <v>124</v>
      </c>
      <c r="K9" s="1173" t="s">
        <v>125</v>
      </c>
      <c r="L9" s="1173"/>
      <c r="M9" s="1173"/>
      <c r="N9" s="1173"/>
      <c r="O9" s="1173" t="s">
        <v>126</v>
      </c>
      <c r="P9" s="1173"/>
      <c r="Q9" s="1173"/>
      <c r="R9" s="1173"/>
      <c r="S9" s="1173" t="s">
        <v>127</v>
      </c>
      <c r="T9" s="1173"/>
      <c r="U9" s="1173"/>
      <c r="V9" s="1173"/>
      <c r="W9" s="1146" t="s">
        <v>128</v>
      </c>
    </row>
    <row r="10" spans="1:43" ht="30" customHeight="1">
      <c r="D10" s="1146"/>
      <c r="E10" s="42" t="s">
        <v>85</v>
      </c>
      <c r="F10" s="42" t="s">
        <v>129</v>
      </c>
      <c r="G10" s="1146"/>
      <c r="H10" s="1146"/>
      <c r="I10" s="1146"/>
      <c r="J10" s="1146"/>
      <c r="K10" s="42" t="s">
        <v>104</v>
      </c>
      <c r="L10" s="1146" t="s">
        <v>84</v>
      </c>
      <c r="M10" s="1146"/>
      <c r="N10" s="42" t="s">
        <v>130</v>
      </c>
      <c r="O10" s="42" t="s">
        <v>104</v>
      </c>
      <c r="P10" s="1146" t="s">
        <v>84</v>
      </c>
      <c r="Q10" s="1146"/>
      <c r="R10" s="42" t="s">
        <v>130</v>
      </c>
      <c r="S10" s="42" t="s">
        <v>104</v>
      </c>
      <c r="T10" s="1146" t="s">
        <v>84</v>
      </c>
      <c r="U10" s="1146"/>
      <c r="V10" s="42" t="s">
        <v>85</v>
      </c>
      <c r="W10" s="1146"/>
      <c r="Z10" s="18" t="s">
        <v>131</v>
      </c>
      <c r="AA10" s="18" t="s">
        <v>132</v>
      </c>
      <c r="AB10" s="18" t="s">
        <v>133</v>
      </c>
      <c r="AC10" s="18" t="s">
        <v>134</v>
      </c>
      <c r="AD10" s="18" t="s">
        <v>135</v>
      </c>
      <c r="AE10" s="18" t="s">
        <v>136</v>
      </c>
      <c r="AF10" s="18" t="s">
        <v>137</v>
      </c>
      <c r="AG10" s="18" t="s">
        <v>138</v>
      </c>
      <c r="AH10" s="18" t="s">
        <v>139</v>
      </c>
      <c r="AI10" s="18" t="s">
        <v>140</v>
      </c>
      <c r="AJ10" s="18" t="s">
        <v>141</v>
      </c>
      <c r="AK10" s="18" t="s">
        <v>142</v>
      </c>
      <c r="AL10" s="18" t="s">
        <v>143</v>
      </c>
      <c r="AM10" s="18" t="s">
        <v>144</v>
      </c>
      <c r="AN10" s="18" t="s">
        <v>145</v>
      </c>
      <c r="AO10" s="18" t="s">
        <v>146</v>
      </c>
      <c r="AP10" s="18" t="s">
        <v>147</v>
      </c>
      <c r="AQ10" s="18" t="s">
        <v>148</v>
      </c>
    </row>
    <row r="11" spans="1:43" s="69" customFormat="1" ht="12" hidden="1" customHeight="1">
      <c r="D11" s="713" t="s">
        <v>105</v>
      </c>
      <c r="E11" s="713" t="s">
        <v>106</v>
      </c>
      <c r="F11" s="713"/>
      <c r="G11" s="713" t="s">
        <v>86</v>
      </c>
      <c r="H11" s="1174" t="s">
        <v>107</v>
      </c>
      <c r="I11" s="1174"/>
      <c r="J11" s="713" t="s">
        <v>88</v>
      </c>
      <c r="K11" s="713" t="s">
        <v>89</v>
      </c>
      <c r="L11" s="1174" t="s">
        <v>108</v>
      </c>
      <c r="M11" s="1174"/>
      <c r="N11" s="713" t="s">
        <v>149</v>
      </c>
      <c r="O11" s="713" t="s">
        <v>150</v>
      </c>
      <c r="P11" s="1174" t="s">
        <v>151</v>
      </c>
      <c r="Q11" s="1174"/>
      <c r="R11" s="713" t="s">
        <v>152</v>
      </c>
      <c r="S11" s="713" t="s">
        <v>151</v>
      </c>
      <c r="T11" s="1174" t="s">
        <v>152</v>
      </c>
      <c r="U11" s="1174"/>
      <c r="V11" s="713" t="s">
        <v>153</v>
      </c>
      <c r="W11" s="713" t="s">
        <v>154</v>
      </c>
      <c r="Y11" s="18"/>
      <c r="Z11" s="18"/>
      <c r="AA11" s="18"/>
      <c r="AB11" s="18"/>
      <c r="AC11" s="18"/>
      <c r="AD11" s="18"/>
      <c r="AE11" s="18"/>
      <c r="AF11" s="18"/>
      <c r="AG11" s="18"/>
      <c r="AH11" s="18"/>
      <c r="AI11" s="18"/>
      <c r="AJ11" s="18"/>
      <c r="AK11" s="18"/>
      <c r="AL11" s="18"/>
      <c r="AM11" s="18"/>
      <c r="AN11" s="18"/>
      <c r="AO11" s="18"/>
      <c r="AP11" s="18"/>
      <c r="AQ11" s="18"/>
    </row>
    <row r="12" spans="1:43" ht="14.25" hidden="1" customHeight="1">
      <c r="C12" s="76"/>
      <c r="D12" s="455">
        <v>0</v>
      </c>
      <c r="E12" s="42"/>
      <c r="F12" s="42"/>
      <c r="G12" s="42"/>
      <c r="H12" s="145"/>
      <c r="I12" s="145"/>
      <c r="J12" s="44"/>
      <c r="K12" s="44"/>
      <c r="L12" s="44"/>
      <c r="M12" s="44"/>
      <c r="N12" s="146"/>
      <c r="O12" s="44"/>
      <c r="P12" s="44"/>
      <c r="Q12" s="44"/>
      <c r="R12" s="147"/>
      <c r="S12" s="44"/>
      <c r="T12" s="44"/>
      <c r="U12" s="44"/>
      <c r="V12" s="147"/>
      <c r="W12" s="44"/>
    </row>
    <row r="13" spans="1:43" s="36" customFormat="1" ht="17.25" hidden="1" customHeight="1">
      <c r="A13" s="186"/>
      <c r="C13" s="76"/>
      <c r="D13" s="1154">
        <v>1</v>
      </c>
      <c r="E13" s="1161" t="s">
        <v>155</v>
      </c>
      <c r="F13" s="1163" t="s">
        <v>52</v>
      </c>
      <c r="G13" s="1161"/>
      <c r="H13" s="1166"/>
      <c r="I13" s="1168"/>
      <c r="J13" s="1170"/>
      <c r="K13" s="1155"/>
      <c r="L13" s="1155"/>
      <c r="M13" s="1155"/>
      <c r="N13" s="1157"/>
      <c r="O13" s="1155"/>
      <c r="P13" s="1155"/>
      <c r="Q13" s="1155"/>
      <c r="R13" s="1160"/>
      <c r="S13" s="1155"/>
      <c r="T13" s="794"/>
      <c r="U13" s="794"/>
      <c r="V13" s="793"/>
      <c r="W13" s="736"/>
      <c r="Y13" s="721"/>
      <c r="Z13" s="721"/>
      <c r="AA13" s="721"/>
      <c r="AB13" s="721"/>
      <c r="AC13" s="721" t="s">
        <v>156</v>
      </c>
      <c r="AD13" s="721" t="s">
        <v>157</v>
      </c>
      <c r="AE13" s="721" t="s">
        <v>158</v>
      </c>
      <c r="AF13" s="721" t="s">
        <v>159</v>
      </c>
      <c r="AG13" s="721" t="s">
        <v>160</v>
      </c>
      <c r="AH13" s="72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21" t="str">
        <f>IF($G$13=0,"",$G$13)</f>
        <v/>
      </c>
      <c r="AJ13" s="721" t="str">
        <f>IF($J$13=0,"",$J$13)</f>
        <v/>
      </c>
      <c r="AK13" s="721" t="str">
        <f>IF($K$13="нет","без дифференциации",IF($N$13=0,"",$N$13))</f>
        <v/>
      </c>
      <c r="AL13" s="721" t="str">
        <f>IF($O$13="нет","без дифференциации",IF($R$13=0,"",$R$13))</f>
        <v/>
      </c>
      <c r="AM13" s="721" t="str">
        <f>IF($S$13="нет","без дифференциации",IF($V$13=0,"",$V$13))</f>
        <v/>
      </c>
      <c r="AN13" s="721">
        <f>$I$13</f>
        <v>0</v>
      </c>
      <c r="AO13" s="721" t="str">
        <f>$I$13&amp;"."&amp;$M$13</f>
        <v>.</v>
      </c>
      <c r="AP13" s="721" t="str">
        <f>$I$13&amp;"."&amp;$M$13&amp;"."&amp;$Q$13</f>
        <v>..</v>
      </c>
      <c r="AQ13" s="721" t="str">
        <f>$I$13&amp;"."&amp;$M$13&amp;"."&amp;$Q$13&amp;"."&amp;$U$13</f>
        <v>...</v>
      </c>
    </row>
    <row r="14" spans="1:43" s="36" customFormat="1" ht="17.25" hidden="1" customHeight="1">
      <c r="A14" s="186"/>
      <c r="D14" s="1154"/>
      <c r="E14" s="1161"/>
      <c r="F14" s="1164"/>
      <c r="G14" s="1161"/>
      <c r="H14" s="1167"/>
      <c r="I14" s="1169"/>
      <c r="J14" s="1171"/>
      <c r="K14" s="1156"/>
      <c r="L14" s="1156"/>
      <c r="M14" s="1156"/>
      <c r="N14" s="1158"/>
      <c r="O14" s="1156"/>
      <c r="P14" s="1156"/>
      <c r="Q14" s="1156"/>
      <c r="R14" s="1159"/>
      <c r="S14" s="1156"/>
      <c r="T14" s="737"/>
      <c r="U14" s="737"/>
      <c r="V14" s="737"/>
      <c r="W14" s="738"/>
      <c r="Y14" s="18"/>
      <c r="Z14" s="18"/>
      <c r="AA14" s="18"/>
      <c r="AB14" s="18"/>
      <c r="AC14" s="18"/>
      <c r="AD14" s="18"/>
      <c r="AE14" s="18"/>
      <c r="AF14" s="18"/>
      <c r="AG14" s="18"/>
      <c r="AH14" s="18"/>
      <c r="AI14" s="18"/>
      <c r="AJ14" s="18"/>
      <c r="AK14" s="18"/>
      <c r="AL14" s="18"/>
      <c r="AM14" s="18"/>
      <c r="AN14" s="18"/>
      <c r="AO14" s="18"/>
      <c r="AP14" s="18"/>
      <c r="AQ14" s="18"/>
    </row>
    <row r="15" spans="1:43" s="36" customFormat="1" ht="17.25" hidden="1" customHeight="1">
      <c r="A15" s="186"/>
      <c r="C15" s="76"/>
      <c r="D15" s="1154"/>
      <c r="E15" s="1161"/>
      <c r="F15" s="1164"/>
      <c r="G15" s="1161"/>
      <c r="H15" s="1167"/>
      <c r="I15" s="1169"/>
      <c r="J15" s="1172"/>
      <c r="K15" s="1156"/>
      <c r="L15" s="1156"/>
      <c r="M15" s="1156"/>
      <c r="N15" s="1159"/>
      <c r="O15" s="1156"/>
      <c r="P15" s="56"/>
      <c r="Q15" s="737"/>
      <c r="R15" s="737"/>
      <c r="W15" s="738"/>
      <c r="Y15" s="721"/>
      <c r="Z15" s="721"/>
      <c r="AA15" s="721"/>
      <c r="AB15" s="721"/>
      <c r="AC15" s="721"/>
      <c r="AD15" s="721"/>
      <c r="AE15" s="721"/>
      <c r="AF15" s="721"/>
      <c r="AG15" s="721"/>
      <c r="AH15" s="721"/>
      <c r="AI15" s="721"/>
      <c r="AJ15" s="721"/>
      <c r="AK15" s="721"/>
      <c r="AL15" s="721"/>
      <c r="AM15" s="721"/>
      <c r="AN15" s="721"/>
      <c r="AO15" s="721"/>
      <c r="AP15" s="721"/>
      <c r="AQ15" s="721"/>
    </row>
    <row r="16" spans="1:43" s="36" customFormat="1" ht="17.25" hidden="1" customHeight="1">
      <c r="A16" s="186"/>
      <c r="D16" s="1154"/>
      <c r="E16" s="1161"/>
      <c r="F16" s="1164"/>
      <c r="G16" s="1161"/>
      <c r="H16" s="1167"/>
      <c r="I16" s="1169"/>
      <c r="J16" s="1172"/>
      <c r="K16" s="1156"/>
      <c r="L16" s="737"/>
      <c r="M16" s="737"/>
      <c r="N16" s="737"/>
      <c r="O16" s="737"/>
      <c r="P16" s="737"/>
      <c r="Q16" s="737"/>
      <c r="R16" s="737"/>
      <c r="W16" s="738"/>
      <c r="Y16" s="18"/>
      <c r="Z16" s="18"/>
      <c r="AA16" s="18"/>
      <c r="AB16" s="18"/>
      <c r="AC16" s="18"/>
      <c r="AD16" s="18"/>
      <c r="AE16" s="18"/>
      <c r="AF16" s="18"/>
      <c r="AG16" s="18"/>
      <c r="AH16" s="18"/>
      <c r="AI16" s="18"/>
      <c r="AJ16" s="18"/>
      <c r="AK16" s="18"/>
      <c r="AL16" s="18"/>
      <c r="AM16" s="18"/>
      <c r="AN16" s="18"/>
      <c r="AO16" s="18"/>
      <c r="AP16" s="18"/>
      <c r="AQ16" s="18"/>
    </row>
    <row r="17" spans="1:43" s="36" customFormat="1" ht="17.25" hidden="1" customHeight="1">
      <c r="A17" s="186"/>
      <c r="D17" s="1125"/>
      <c r="E17" s="1162"/>
      <c r="F17" s="1165"/>
      <c r="G17" s="1162"/>
      <c r="H17" s="739"/>
      <c r="I17" s="740"/>
      <c r="J17" s="740"/>
      <c r="K17" s="740"/>
      <c r="L17" s="740"/>
      <c r="M17" s="740"/>
      <c r="N17" s="740"/>
      <c r="O17" s="740"/>
      <c r="P17" s="740"/>
      <c r="Q17" s="740"/>
      <c r="R17" s="740"/>
      <c r="S17" s="741"/>
      <c r="T17" s="741"/>
      <c r="U17" s="741"/>
      <c r="V17" s="741"/>
      <c r="W17" s="742"/>
      <c r="Y17" s="18"/>
      <c r="Z17" s="18"/>
      <c r="AA17" s="18"/>
      <c r="AB17" s="18"/>
      <c r="AC17" s="18"/>
      <c r="AD17" s="18"/>
      <c r="AE17" s="18"/>
      <c r="AF17" s="18"/>
      <c r="AG17" s="18"/>
      <c r="AH17" s="18"/>
      <c r="AI17" s="18"/>
      <c r="AJ17" s="18"/>
      <c r="AK17" s="18"/>
      <c r="AL17" s="18"/>
      <c r="AM17" s="18"/>
      <c r="AN17" s="18"/>
      <c r="AO17" s="18"/>
      <c r="AP17" s="18"/>
      <c r="AQ17" s="18"/>
    </row>
    <row r="18" spans="1:43" s="36" customFormat="1" ht="17.25" hidden="1" customHeight="1">
      <c r="A18" s="186"/>
      <c r="C18" s="76"/>
      <c r="D18" s="1154">
        <v>2</v>
      </c>
      <c r="E18" s="1182"/>
      <c r="F18" s="1163" t="s">
        <v>52</v>
      </c>
      <c r="G18" s="1161"/>
      <c r="H18" s="1166"/>
      <c r="I18" s="1168"/>
      <c r="J18" s="1170"/>
      <c r="K18" s="1155"/>
      <c r="L18" s="1155"/>
      <c r="M18" s="1155"/>
      <c r="N18" s="1157"/>
      <c r="O18" s="1155"/>
      <c r="P18" s="1155"/>
      <c r="Q18" s="1155"/>
      <c r="R18" s="1160"/>
      <c r="S18" s="1155"/>
      <c r="T18" s="794"/>
      <c r="U18" s="794"/>
      <c r="V18" s="793"/>
      <c r="W18" s="736"/>
      <c r="X18" s="721"/>
      <c r="Y18" s="721"/>
      <c r="Z18" s="721"/>
      <c r="AA18" s="721"/>
      <c r="AB18" s="721"/>
      <c r="AC18" s="721" t="s">
        <v>161</v>
      </c>
      <c r="AD18" s="721" t="s">
        <v>162</v>
      </c>
      <c r="AE18" s="721" t="s">
        <v>163</v>
      </c>
      <c r="AF18" s="721" t="s">
        <v>164</v>
      </c>
      <c r="AG18" s="721" t="s">
        <v>165</v>
      </c>
      <c r="AH18" s="721" t="str">
        <f>IF($E$18=0,"",$E$18)</f>
        <v/>
      </c>
      <c r="AI18" s="721" t="str">
        <f>IF($G$18=0,"",$G$18)</f>
        <v/>
      </c>
      <c r="AJ18" s="721" t="str">
        <f>IF($J$18=0,"",$J$18)</f>
        <v/>
      </c>
      <c r="AK18" s="721" t="str">
        <f>IF($K$18="нет","без дифференциации",IF($N$18=0,"",$N$18))</f>
        <v/>
      </c>
      <c r="AL18" s="721" t="str">
        <f>IF($O$18="нет","без дифференциации",IF($R$18=0,"",$R$18))</f>
        <v/>
      </c>
      <c r="AM18" s="721" t="str">
        <f>IF($S$18="нет","без дифференциации",IF($V$18=0,"",$V$18))</f>
        <v/>
      </c>
      <c r="AN18" s="963">
        <f>$I$18</f>
        <v>0</v>
      </c>
      <c r="AO18" s="721" t="str">
        <f>$I$18&amp;"."&amp;$M$18</f>
        <v>.</v>
      </c>
      <c r="AP18" s="18" t="str">
        <f>$I$18&amp;"."&amp;$M$18&amp;"."&amp;$Q$18</f>
        <v>..</v>
      </c>
      <c r="AQ18" s="18" t="str">
        <f>$I$18&amp;"."&amp;$M$18&amp;"."&amp;$Q$18&amp;"."&amp;$U$18</f>
        <v>...</v>
      </c>
    </row>
    <row r="19" spans="1:43" s="36" customFormat="1" ht="17.25" hidden="1" customHeight="1">
      <c r="A19" s="186"/>
      <c r="D19" s="1154"/>
      <c r="E19" s="1182"/>
      <c r="F19" s="1164"/>
      <c r="G19" s="1161"/>
      <c r="H19" s="1167"/>
      <c r="I19" s="1169"/>
      <c r="J19" s="1171"/>
      <c r="K19" s="1156"/>
      <c r="L19" s="1156"/>
      <c r="M19" s="1156"/>
      <c r="N19" s="1158"/>
      <c r="O19" s="1156"/>
      <c r="P19" s="1156"/>
      <c r="Q19" s="1156"/>
      <c r="R19" s="1159"/>
      <c r="S19" s="1156"/>
      <c r="T19" s="737"/>
      <c r="U19" s="737"/>
      <c r="V19" s="737"/>
      <c r="W19" s="738"/>
      <c r="X19" s="18"/>
      <c r="Y19" s="18"/>
      <c r="Z19" s="18"/>
      <c r="AA19" s="18"/>
      <c r="AB19" s="18"/>
      <c r="AC19" s="18"/>
      <c r="AD19" s="18"/>
      <c r="AE19" s="18"/>
      <c r="AF19" s="18"/>
      <c r="AG19" s="18"/>
      <c r="AH19" s="18"/>
      <c r="AI19" s="18"/>
      <c r="AJ19" s="18"/>
      <c r="AK19" s="18"/>
      <c r="AL19" s="18"/>
      <c r="AM19" s="18"/>
      <c r="AN19" s="18"/>
      <c r="AO19" s="18"/>
      <c r="AP19" s="18"/>
      <c r="AQ19" s="18"/>
    </row>
    <row r="20" spans="1:43" s="36" customFormat="1" ht="17.25" hidden="1" customHeight="1">
      <c r="A20" s="186"/>
      <c r="D20" s="1125"/>
      <c r="E20" s="1183"/>
      <c r="F20" s="1164"/>
      <c r="G20" s="1162"/>
      <c r="H20" s="1167"/>
      <c r="I20" s="1169"/>
      <c r="J20" s="1172"/>
      <c r="K20" s="1156"/>
      <c r="L20" s="1156"/>
      <c r="M20" s="1156"/>
      <c r="N20" s="1159"/>
      <c r="O20" s="1156"/>
      <c r="P20" s="56"/>
      <c r="Q20" s="737"/>
      <c r="R20" s="737"/>
      <c r="W20" s="738"/>
      <c r="X20" s="18"/>
      <c r="Y20" s="18"/>
      <c r="Z20" s="18"/>
      <c r="AA20" s="18"/>
      <c r="AB20" s="18"/>
      <c r="AC20" s="18"/>
      <c r="AD20" s="18"/>
      <c r="AE20" s="18"/>
      <c r="AF20" s="18"/>
      <c r="AG20" s="18"/>
      <c r="AH20" s="18"/>
      <c r="AI20" s="18"/>
      <c r="AJ20" s="18"/>
      <c r="AK20" s="18"/>
      <c r="AL20" s="18"/>
      <c r="AM20" s="18"/>
      <c r="AN20" s="18"/>
      <c r="AO20" s="18"/>
      <c r="AP20" s="18"/>
      <c r="AQ20" s="18"/>
    </row>
    <row r="21" spans="1:43" s="36" customFormat="1" ht="17.25" hidden="1" customHeight="1">
      <c r="A21" s="186"/>
      <c r="D21" s="1125"/>
      <c r="E21" s="1183"/>
      <c r="F21" s="1164"/>
      <c r="G21" s="1162"/>
      <c r="H21" s="1167"/>
      <c r="I21" s="1169"/>
      <c r="J21" s="1172"/>
      <c r="K21" s="1156"/>
      <c r="L21" s="737"/>
      <c r="M21" s="737"/>
      <c r="N21" s="737"/>
      <c r="O21" s="737"/>
      <c r="P21" s="737"/>
      <c r="Q21" s="737"/>
      <c r="R21" s="737"/>
      <c r="W21" s="738"/>
      <c r="X21" s="18"/>
      <c r="Y21" s="18"/>
      <c r="Z21" s="18"/>
      <c r="AA21" s="18"/>
      <c r="AB21" s="18"/>
      <c r="AC21" s="18"/>
      <c r="AD21" s="18"/>
      <c r="AE21" s="18"/>
      <c r="AF21" s="18"/>
      <c r="AG21" s="18"/>
      <c r="AH21" s="18"/>
      <c r="AI21" s="18"/>
      <c r="AJ21" s="18"/>
      <c r="AK21" s="18"/>
      <c r="AL21" s="18"/>
      <c r="AM21" s="18"/>
      <c r="AN21" s="18"/>
      <c r="AO21" s="18"/>
      <c r="AP21" s="18"/>
      <c r="AQ21" s="18"/>
    </row>
    <row r="22" spans="1:43" s="36" customFormat="1" ht="17.25" hidden="1" customHeight="1">
      <c r="A22" s="186"/>
      <c r="D22" s="1125"/>
      <c r="E22" s="1183"/>
      <c r="F22" s="1165"/>
      <c r="G22" s="1162"/>
      <c r="H22" s="739"/>
      <c r="I22" s="740"/>
      <c r="J22" s="740"/>
      <c r="K22" s="740"/>
      <c r="L22" s="740"/>
      <c r="M22" s="740"/>
      <c r="N22" s="740"/>
      <c r="O22" s="740"/>
      <c r="P22" s="740"/>
      <c r="Q22" s="740"/>
      <c r="R22" s="740"/>
      <c r="S22" s="741"/>
      <c r="T22" s="741"/>
      <c r="U22" s="741"/>
      <c r="V22" s="741"/>
      <c r="W22" s="742"/>
      <c r="X22" s="18"/>
      <c r="Y22" s="18"/>
      <c r="Z22" s="18"/>
      <c r="AA22" s="18"/>
      <c r="AB22" s="18"/>
      <c r="AC22" s="18"/>
      <c r="AD22" s="18"/>
      <c r="AE22" s="18"/>
      <c r="AF22" s="18"/>
      <c r="AG22" s="18"/>
      <c r="AH22" s="18"/>
      <c r="AI22" s="18"/>
      <c r="AJ22" s="18"/>
      <c r="AK22" s="18"/>
      <c r="AL22" s="18"/>
      <c r="AM22" s="18"/>
      <c r="AN22" s="18"/>
      <c r="AO22" s="18"/>
      <c r="AP22" s="18"/>
      <c r="AQ22" s="18"/>
    </row>
    <row r="23" spans="1:43" s="36" customFormat="1" ht="17.25" hidden="1" customHeight="1">
      <c r="A23" s="186"/>
      <c r="C23" s="76"/>
      <c r="D23" s="1154">
        <v>2</v>
      </c>
      <c r="E23" s="1161" t="s">
        <v>166</v>
      </c>
      <c r="F23" s="1163" t="s">
        <v>52</v>
      </c>
      <c r="G23" s="1161"/>
      <c r="H23" s="1166"/>
      <c r="I23" s="1168"/>
      <c r="J23" s="1170"/>
      <c r="K23" s="1155"/>
      <c r="L23" s="1155"/>
      <c r="M23" s="1155"/>
      <c r="N23" s="1157"/>
      <c r="O23" s="1155"/>
      <c r="P23" s="1155"/>
      <c r="Q23" s="1155"/>
      <c r="R23" s="1160"/>
      <c r="S23" s="1155"/>
      <c r="T23" s="794"/>
      <c r="U23" s="794"/>
      <c r="V23" s="793"/>
      <c r="W23" s="736"/>
      <c r="X23" s="721"/>
      <c r="Y23" s="721"/>
      <c r="Z23" s="721"/>
      <c r="AA23" s="721"/>
      <c r="AB23" s="721"/>
      <c r="AC23" s="721" t="s">
        <v>161</v>
      </c>
      <c r="AD23" s="721" t="s">
        <v>162</v>
      </c>
      <c r="AE23" s="721" t="s">
        <v>163</v>
      </c>
      <c r="AF23" s="721" t="s">
        <v>164</v>
      </c>
      <c r="AG23" s="721" t="s">
        <v>165</v>
      </c>
      <c r="AH23" s="721" t="str">
        <f>IF($E$23=0,"",$E$23)</f>
        <v>Тарифы на тепловую энергию (мощность), поставляемую теплоснабжающими организациями потребителям, другим теплоснабжающим организациям</v>
      </c>
      <c r="AI23" s="721" t="str">
        <f>IF($G$23=0,"",$G$23)</f>
        <v/>
      </c>
      <c r="AJ23" s="721" t="str">
        <f>IF($J$23=0,"",$J$23)</f>
        <v/>
      </c>
      <c r="AK23" s="721" t="str">
        <f>IF($K$23="нет","без дифференциации",IF($N$23=0,"",$N$23))</f>
        <v/>
      </c>
      <c r="AL23" s="721" t="str">
        <f>IF($O$23="нет","без дифференциации",IF($R$23=0,"",$R$23))</f>
        <v/>
      </c>
      <c r="AM23" s="721" t="str">
        <f>IF($S$23="нет","без дифференциации",IF($V$23=0,"",$V$23))</f>
        <v/>
      </c>
      <c r="AN23" s="963">
        <f>$I$23</f>
        <v>0</v>
      </c>
      <c r="AO23" s="721" t="str">
        <f>$I$23&amp;"."&amp;$M$23</f>
        <v>.</v>
      </c>
      <c r="AP23" s="18" t="str">
        <f>$I$23&amp;"."&amp;$M$23&amp;"."&amp;$Q$23</f>
        <v>..</v>
      </c>
      <c r="AQ23" s="18" t="str">
        <f>$I$23&amp;"."&amp;$M$23&amp;"."&amp;$Q$23&amp;"."&amp;$U$23</f>
        <v>...</v>
      </c>
    </row>
    <row r="24" spans="1:43" s="36" customFormat="1" ht="17.25" hidden="1" customHeight="1">
      <c r="A24" s="186"/>
      <c r="D24" s="1154"/>
      <c r="E24" s="1161"/>
      <c r="F24" s="1164"/>
      <c r="G24" s="1161"/>
      <c r="H24" s="1167"/>
      <c r="I24" s="1169"/>
      <c r="J24" s="1171"/>
      <c r="K24" s="1156"/>
      <c r="L24" s="1156"/>
      <c r="M24" s="1156"/>
      <c r="N24" s="1158"/>
      <c r="O24" s="1156"/>
      <c r="P24" s="1156"/>
      <c r="Q24" s="1156"/>
      <c r="R24" s="1159"/>
      <c r="S24" s="1156"/>
      <c r="T24" s="737"/>
      <c r="U24" s="737"/>
      <c r="V24" s="737"/>
      <c r="W24" s="738"/>
      <c r="X24" s="18"/>
      <c r="Y24" s="18"/>
      <c r="Z24" s="18"/>
      <c r="AA24" s="18"/>
      <c r="AB24" s="18"/>
      <c r="AC24" s="18"/>
      <c r="AD24" s="18"/>
      <c r="AE24" s="18"/>
      <c r="AF24" s="18"/>
      <c r="AG24" s="18"/>
      <c r="AH24" s="18"/>
      <c r="AI24" s="18"/>
      <c r="AJ24" s="18"/>
      <c r="AK24" s="18"/>
      <c r="AL24" s="18"/>
      <c r="AM24" s="18"/>
      <c r="AN24" s="18"/>
      <c r="AO24" s="18"/>
      <c r="AP24" s="18"/>
      <c r="AQ24" s="18"/>
    </row>
    <row r="25" spans="1:43" s="36" customFormat="1" ht="17.25" hidden="1" customHeight="1">
      <c r="A25" s="186"/>
      <c r="D25" s="1125"/>
      <c r="E25" s="1162"/>
      <c r="F25" s="1164"/>
      <c r="G25" s="1162"/>
      <c r="H25" s="1167"/>
      <c r="I25" s="1169"/>
      <c r="J25" s="1172"/>
      <c r="K25" s="1156"/>
      <c r="L25" s="1156"/>
      <c r="M25" s="1156"/>
      <c r="N25" s="1159"/>
      <c r="O25" s="1156"/>
      <c r="P25" s="56"/>
      <c r="Q25" s="737"/>
      <c r="R25" s="737"/>
      <c r="W25" s="738"/>
      <c r="X25" s="18"/>
      <c r="Y25" s="18"/>
      <c r="Z25" s="18"/>
      <c r="AA25" s="18"/>
      <c r="AB25" s="18"/>
      <c r="AC25" s="18"/>
      <c r="AD25" s="18"/>
      <c r="AE25" s="18"/>
      <c r="AF25" s="18"/>
      <c r="AG25" s="18"/>
      <c r="AH25" s="18"/>
      <c r="AI25" s="18"/>
      <c r="AJ25" s="18"/>
      <c r="AK25" s="18"/>
      <c r="AL25" s="18"/>
      <c r="AM25" s="18"/>
      <c r="AN25" s="18"/>
      <c r="AO25" s="18"/>
      <c r="AP25" s="18"/>
      <c r="AQ25" s="18"/>
    </row>
    <row r="26" spans="1:43" s="36" customFormat="1" ht="17.25" hidden="1" customHeight="1">
      <c r="A26" s="186"/>
      <c r="D26" s="1125"/>
      <c r="E26" s="1162"/>
      <c r="F26" s="1164"/>
      <c r="G26" s="1162"/>
      <c r="H26" s="1167"/>
      <c r="I26" s="1169"/>
      <c r="J26" s="1172"/>
      <c r="K26" s="1156"/>
      <c r="L26" s="737"/>
      <c r="M26" s="737"/>
      <c r="N26" s="737"/>
      <c r="O26" s="737"/>
      <c r="P26" s="737"/>
      <c r="Q26" s="737"/>
      <c r="R26" s="737"/>
      <c r="W26" s="738"/>
      <c r="X26" s="18"/>
      <c r="Y26" s="18"/>
      <c r="Z26" s="18"/>
      <c r="AA26" s="18"/>
      <c r="AB26" s="18"/>
      <c r="AC26" s="18"/>
      <c r="AD26" s="18"/>
      <c r="AE26" s="18"/>
      <c r="AF26" s="18"/>
      <c r="AG26" s="18"/>
      <c r="AH26" s="18"/>
      <c r="AI26" s="18"/>
      <c r="AJ26" s="18"/>
      <c r="AK26" s="18"/>
      <c r="AL26" s="18"/>
      <c r="AM26" s="18"/>
      <c r="AN26" s="18"/>
      <c r="AO26" s="18"/>
      <c r="AP26" s="18"/>
      <c r="AQ26" s="18"/>
    </row>
    <row r="27" spans="1:43" s="36" customFormat="1" ht="17.25" hidden="1" customHeight="1">
      <c r="A27" s="186"/>
      <c r="D27" s="1125"/>
      <c r="E27" s="1162"/>
      <c r="F27" s="1165"/>
      <c r="G27" s="1162"/>
      <c r="H27" s="739"/>
      <c r="I27" s="740"/>
      <c r="J27" s="740"/>
      <c r="K27" s="740"/>
      <c r="L27" s="740"/>
      <c r="M27" s="740"/>
      <c r="N27" s="740"/>
      <c r="O27" s="740"/>
      <c r="P27" s="740"/>
      <c r="Q27" s="740"/>
      <c r="R27" s="740"/>
      <c r="S27" s="741"/>
      <c r="T27" s="741"/>
      <c r="U27" s="741"/>
      <c r="V27" s="741"/>
      <c r="W27" s="742"/>
      <c r="X27" s="18"/>
      <c r="Y27" s="18"/>
      <c r="Z27" s="18"/>
      <c r="AA27" s="18"/>
      <c r="AB27" s="18"/>
      <c r="AC27" s="18"/>
      <c r="AD27" s="18"/>
      <c r="AE27" s="18"/>
      <c r="AF27" s="18"/>
      <c r="AG27" s="18"/>
      <c r="AH27" s="18"/>
      <c r="AI27" s="18"/>
      <c r="AJ27" s="18"/>
      <c r="AK27" s="18"/>
      <c r="AL27" s="18"/>
      <c r="AM27" s="18"/>
      <c r="AN27" s="18"/>
      <c r="AO27" s="18"/>
      <c r="AP27" s="18"/>
      <c r="AQ27" s="18"/>
    </row>
    <row r="28" spans="1:43" s="36" customFormat="1" ht="17.25" hidden="1" customHeight="1">
      <c r="A28" s="186"/>
      <c r="C28" s="76"/>
      <c r="D28" s="1154">
        <v>3</v>
      </c>
      <c r="E28" s="1161" t="s">
        <v>167</v>
      </c>
      <c r="F28" s="1163" t="s">
        <v>52</v>
      </c>
      <c r="G28" s="1161"/>
      <c r="H28" s="1166"/>
      <c r="I28" s="1168"/>
      <c r="J28" s="1170"/>
      <c r="K28" s="1155"/>
      <c r="L28" s="1155"/>
      <c r="M28" s="1155"/>
      <c r="N28" s="1157"/>
      <c r="O28" s="1155"/>
      <c r="P28" s="1155"/>
      <c r="Q28" s="1155"/>
      <c r="R28" s="1160"/>
      <c r="S28" s="1155"/>
      <c r="T28" s="794"/>
      <c r="U28" s="794"/>
      <c r="V28" s="793"/>
      <c r="W28" s="736"/>
      <c r="X28" s="721"/>
      <c r="Y28" s="721"/>
      <c r="Z28" s="721"/>
      <c r="AA28" s="721"/>
      <c r="AB28" s="721"/>
      <c r="AC28" s="721" t="s">
        <v>168</v>
      </c>
      <c r="AD28" s="721" t="s">
        <v>169</v>
      </c>
      <c r="AE28" s="721" t="s">
        <v>170</v>
      </c>
      <c r="AF28" s="721" t="s">
        <v>171</v>
      </c>
      <c r="AG28" s="721" t="s">
        <v>172</v>
      </c>
      <c r="AH28" s="721" t="str">
        <f>IF($E$28=0,"",$E$28)</f>
        <v>Тарифы на теплоноситель, поставляемый теплоснабжающими организациями потребителям, другим теплоснабжающим организациям</v>
      </c>
      <c r="AI28" s="721" t="str">
        <f>IF($G$28=0,"",$G$28)</f>
        <v/>
      </c>
      <c r="AJ28" s="721" t="str">
        <f>IF($J$28=0,"",$J$28)</f>
        <v/>
      </c>
      <c r="AK28" s="721" t="str">
        <f>IF($K$28="нет","без дифференциации",IF($N$28=0,"",$N$28))</f>
        <v/>
      </c>
      <c r="AL28" s="721" t="str">
        <f>IF($O$28="нет","без дифференциации",IF($R$28=0,"",$R$28))</f>
        <v/>
      </c>
      <c r="AM28" s="721" t="str">
        <f>IF($S$28="нет","без дифференциации",IF($V$28=0,"",$V$28))</f>
        <v/>
      </c>
      <c r="AN28" s="963">
        <f>$I$28</f>
        <v>0</v>
      </c>
      <c r="AO28" s="721" t="str">
        <f>$I$28&amp;"."&amp;$M$28</f>
        <v>.</v>
      </c>
      <c r="AP28" s="18" t="str">
        <f>$I$28&amp;"."&amp;$M$28&amp;"."&amp;$Q$28</f>
        <v>..</v>
      </c>
      <c r="AQ28" s="18" t="str">
        <f>$I$28&amp;"."&amp;$M$28&amp;"."&amp;$Q$28&amp;"."&amp;$U$28</f>
        <v>...</v>
      </c>
    </row>
    <row r="29" spans="1:43" s="36" customFormat="1" ht="17.25" hidden="1" customHeight="1">
      <c r="A29" s="186"/>
      <c r="D29" s="1154"/>
      <c r="E29" s="1161"/>
      <c r="F29" s="1164"/>
      <c r="G29" s="1161"/>
      <c r="H29" s="1167"/>
      <c r="I29" s="1169"/>
      <c r="J29" s="1171"/>
      <c r="K29" s="1156"/>
      <c r="L29" s="1156"/>
      <c r="M29" s="1156"/>
      <c r="N29" s="1158"/>
      <c r="O29" s="1156"/>
      <c r="P29" s="1156"/>
      <c r="Q29" s="1156"/>
      <c r="R29" s="1159"/>
      <c r="S29" s="1156"/>
      <c r="T29" s="737"/>
      <c r="U29" s="737"/>
      <c r="V29" s="737"/>
      <c r="W29" s="738"/>
      <c r="X29" s="18"/>
      <c r="Y29" s="18"/>
      <c r="Z29" s="18"/>
      <c r="AA29" s="18"/>
      <c r="AB29" s="18"/>
      <c r="AC29" s="18"/>
      <c r="AD29" s="18"/>
      <c r="AE29" s="18"/>
      <c r="AF29" s="18"/>
      <c r="AG29" s="18"/>
      <c r="AH29" s="18"/>
      <c r="AI29" s="18"/>
      <c r="AJ29" s="18"/>
      <c r="AK29" s="18"/>
      <c r="AL29" s="18"/>
      <c r="AM29" s="18"/>
      <c r="AN29" s="18"/>
      <c r="AO29" s="18"/>
      <c r="AP29" s="18"/>
      <c r="AQ29" s="18"/>
    </row>
    <row r="30" spans="1:43" s="36" customFormat="1" ht="17.25" hidden="1" customHeight="1">
      <c r="A30" s="186"/>
      <c r="D30" s="1125"/>
      <c r="E30" s="1162"/>
      <c r="F30" s="1164"/>
      <c r="G30" s="1162"/>
      <c r="H30" s="1167"/>
      <c r="I30" s="1169"/>
      <c r="J30" s="1172"/>
      <c r="K30" s="1156"/>
      <c r="L30" s="1156"/>
      <c r="M30" s="1156"/>
      <c r="N30" s="1159"/>
      <c r="O30" s="1156"/>
      <c r="P30" s="56"/>
      <c r="Q30" s="737"/>
      <c r="R30" s="737"/>
      <c r="W30" s="738"/>
      <c r="X30" s="18"/>
      <c r="Y30" s="18"/>
      <c r="Z30" s="18"/>
      <c r="AA30" s="18"/>
      <c r="AB30" s="18"/>
      <c r="AC30" s="18"/>
      <c r="AD30" s="18"/>
      <c r="AE30" s="18"/>
      <c r="AF30" s="18"/>
      <c r="AG30" s="18"/>
      <c r="AH30" s="18"/>
      <c r="AI30" s="18"/>
      <c r="AJ30" s="18"/>
      <c r="AK30" s="18"/>
      <c r="AL30" s="18"/>
      <c r="AM30" s="18"/>
      <c r="AN30" s="18"/>
      <c r="AO30" s="18"/>
      <c r="AP30" s="18"/>
      <c r="AQ30" s="18"/>
    </row>
    <row r="31" spans="1:43" s="36" customFormat="1" ht="17.25" hidden="1" customHeight="1">
      <c r="A31" s="186"/>
      <c r="D31" s="1125"/>
      <c r="E31" s="1162"/>
      <c r="F31" s="1164"/>
      <c r="G31" s="1162"/>
      <c r="H31" s="1167"/>
      <c r="I31" s="1169"/>
      <c r="J31" s="1172"/>
      <c r="K31" s="1156"/>
      <c r="L31" s="737"/>
      <c r="M31" s="737"/>
      <c r="N31" s="737"/>
      <c r="O31" s="737"/>
      <c r="P31" s="737"/>
      <c r="Q31" s="737"/>
      <c r="R31" s="737"/>
      <c r="W31" s="738"/>
      <c r="X31" s="18"/>
      <c r="Y31" s="18"/>
      <c r="Z31" s="18"/>
      <c r="AA31" s="18"/>
      <c r="AB31" s="18"/>
      <c r="AC31" s="18"/>
      <c r="AD31" s="18"/>
      <c r="AE31" s="18"/>
      <c r="AF31" s="18"/>
      <c r="AG31" s="18"/>
      <c r="AH31" s="18"/>
      <c r="AI31" s="18"/>
      <c r="AJ31" s="18"/>
      <c r="AK31" s="18"/>
      <c r="AL31" s="18"/>
      <c r="AM31" s="18"/>
      <c r="AN31" s="18"/>
      <c r="AO31" s="18"/>
      <c r="AP31" s="18"/>
      <c r="AQ31" s="18"/>
    </row>
    <row r="32" spans="1:43" s="36" customFormat="1" ht="17.25" hidden="1" customHeight="1">
      <c r="A32" s="186"/>
      <c r="D32" s="1125"/>
      <c r="E32" s="1162"/>
      <c r="F32" s="1165"/>
      <c r="G32" s="1162"/>
      <c r="H32" s="739"/>
      <c r="I32" s="740"/>
      <c r="J32" s="740"/>
      <c r="K32" s="740"/>
      <c r="L32" s="740"/>
      <c r="M32" s="740"/>
      <c r="N32" s="740"/>
      <c r="O32" s="740"/>
      <c r="P32" s="740"/>
      <c r="Q32" s="740"/>
      <c r="R32" s="740"/>
      <c r="S32" s="741"/>
      <c r="T32" s="741"/>
      <c r="U32" s="741"/>
      <c r="V32" s="741"/>
      <c r="W32" s="742"/>
      <c r="X32" s="18"/>
      <c r="Y32" s="18"/>
      <c r="Z32" s="18"/>
      <c r="AA32" s="18"/>
      <c r="AB32" s="18"/>
      <c r="AC32" s="18"/>
      <c r="AD32" s="18"/>
      <c r="AE32" s="18"/>
      <c r="AF32" s="18"/>
      <c r="AG32" s="18"/>
      <c r="AH32" s="18"/>
      <c r="AI32" s="18"/>
      <c r="AJ32" s="18"/>
      <c r="AK32" s="18"/>
      <c r="AL32" s="18"/>
      <c r="AM32" s="18"/>
      <c r="AN32" s="18"/>
      <c r="AO32" s="18"/>
      <c r="AP32" s="18"/>
      <c r="AQ32" s="18"/>
    </row>
    <row r="33" spans="1:43" s="36" customFormat="1" ht="17.25" hidden="1" customHeight="1">
      <c r="A33" s="186"/>
      <c r="C33" s="76"/>
      <c r="D33" s="1154">
        <v>4</v>
      </c>
      <c r="E33" s="1161" t="s">
        <v>173</v>
      </c>
      <c r="F33" s="1163" t="s">
        <v>52</v>
      </c>
      <c r="G33" s="1161"/>
      <c r="H33" s="1166"/>
      <c r="I33" s="1168"/>
      <c r="J33" s="1170"/>
      <c r="K33" s="1155"/>
      <c r="L33" s="1155"/>
      <c r="M33" s="1155"/>
      <c r="N33" s="1157"/>
      <c r="O33" s="1155"/>
      <c r="P33" s="1155"/>
      <c r="Q33" s="1155"/>
      <c r="R33" s="1160"/>
      <c r="S33" s="1155"/>
      <c r="T33" s="794"/>
      <c r="U33" s="794"/>
      <c r="V33" s="793"/>
      <c r="W33" s="736"/>
      <c r="X33" s="721"/>
      <c r="Y33" s="721"/>
      <c r="Z33" s="721"/>
      <c r="AA33" s="721"/>
      <c r="AB33" s="721"/>
      <c r="AC33" s="721" t="s">
        <v>174</v>
      </c>
      <c r="AD33" s="721" t="s">
        <v>175</v>
      </c>
      <c r="AE33" s="721" t="s">
        <v>176</v>
      </c>
      <c r="AF33" s="721" t="s">
        <v>177</v>
      </c>
      <c r="AG33" s="721" t="s">
        <v>178</v>
      </c>
      <c r="AH33" s="72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21" t="str">
        <f>IF($G$33=0,"",$G$33)</f>
        <v/>
      </c>
      <c r="AJ33" s="721" t="str">
        <f>IF($J$33=0,"",$J$33)</f>
        <v/>
      </c>
      <c r="AK33" s="721" t="str">
        <f>IF($K$33="нет","без дифференциации",IF($N$33=0,"",$N$33))</f>
        <v/>
      </c>
      <c r="AL33" s="721" t="str">
        <f>IF($O$33="нет","без дифференциации",IF($R$33=0,"",$R$33))</f>
        <v/>
      </c>
      <c r="AM33" s="721" t="str">
        <f>IF($S$33="нет","без дифференциации",IF($V$33=0,"",$V$33))</f>
        <v/>
      </c>
      <c r="AN33" s="963">
        <f>$I$33</f>
        <v>0</v>
      </c>
      <c r="AO33" s="721" t="str">
        <f>$I$33&amp;"."&amp;$M$33</f>
        <v>.</v>
      </c>
      <c r="AP33" s="18" t="str">
        <f>$I$33&amp;"."&amp;$M$33&amp;"."&amp;$Q$33</f>
        <v>..</v>
      </c>
      <c r="AQ33" s="18" t="str">
        <f>$I$33&amp;"."&amp;$M$33&amp;"."&amp;$Q$33&amp;"."&amp;$U$33</f>
        <v>...</v>
      </c>
    </row>
    <row r="34" spans="1:43" s="36" customFormat="1" ht="17.25" hidden="1" customHeight="1">
      <c r="A34" s="186"/>
      <c r="D34" s="1154"/>
      <c r="E34" s="1161"/>
      <c r="F34" s="1164"/>
      <c r="G34" s="1161"/>
      <c r="H34" s="1167"/>
      <c r="I34" s="1169"/>
      <c r="J34" s="1171"/>
      <c r="K34" s="1156"/>
      <c r="L34" s="1156"/>
      <c r="M34" s="1156"/>
      <c r="N34" s="1158"/>
      <c r="O34" s="1156"/>
      <c r="P34" s="1156"/>
      <c r="Q34" s="1156"/>
      <c r="R34" s="1159"/>
      <c r="S34" s="1156"/>
      <c r="T34" s="737"/>
      <c r="U34" s="737"/>
      <c r="V34" s="737"/>
      <c r="W34" s="738"/>
      <c r="X34" s="18"/>
      <c r="Y34" s="18"/>
      <c r="Z34" s="18"/>
      <c r="AA34" s="18"/>
      <c r="AB34" s="18"/>
      <c r="AC34" s="18"/>
      <c r="AD34" s="18"/>
      <c r="AE34" s="18"/>
      <c r="AF34" s="18"/>
      <c r="AG34" s="18"/>
      <c r="AH34" s="18"/>
      <c r="AI34" s="18"/>
      <c r="AJ34" s="18"/>
      <c r="AK34" s="18"/>
      <c r="AL34" s="18"/>
      <c r="AM34" s="18"/>
      <c r="AN34" s="18"/>
      <c r="AO34" s="18"/>
      <c r="AP34" s="18"/>
      <c r="AQ34" s="18"/>
    </row>
    <row r="35" spans="1:43" s="36" customFormat="1" ht="17.25" hidden="1" customHeight="1">
      <c r="A35" s="186"/>
      <c r="D35" s="1125"/>
      <c r="E35" s="1162"/>
      <c r="F35" s="1164"/>
      <c r="G35" s="1162"/>
      <c r="H35" s="1167"/>
      <c r="I35" s="1169"/>
      <c r="J35" s="1172"/>
      <c r="K35" s="1156"/>
      <c r="L35" s="1156"/>
      <c r="M35" s="1156"/>
      <c r="N35" s="1159"/>
      <c r="O35" s="1156"/>
      <c r="P35" s="56"/>
      <c r="Q35" s="737"/>
      <c r="R35" s="737"/>
      <c r="W35" s="738"/>
      <c r="X35" s="18"/>
      <c r="Y35" s="18"/>
      <c r="Z35" s="18"/>
      <c r="AA35" s="18"/>
      <c r="AB35" s="18"/>
      <c r="AC35" s="18"/>
      <c r="AD35" s="18"/>
      <c r="AE35" s="18"/>
      <c r="AF35" s="18"/>
      <c r="AG35" s="18"/>
      <c r="AH35" s="18"/>
      <c r="AI35" s="18"/>
      <c r="AJ35" s="18"/>
      <c r="AK35" s="18"/>
      <c r="AL35" s="18"/>
      <c r="AM35" s="18"/>
      <c r="AN35" s="18"/>
      <c r="AO35" s="18"/>
      <c r="AP35" s="18"/>
      <c r="AQ35" s="18"/>
    </row>
    <row r="36" spans="1:43" s="36" customFormat="1" ht="17.25" hidden="1" customHeight="1">
      <c r="A36" s="186"/>
      <c r="D36" s="1125"/>
      <c r="E36" s="1162"/>
      <c r="F36" s="1164"/>
      <c r="G36" s="1162"/>
      <c r="H36" s="1167"/>
      <c r="I36" s="1169"/>
      <c r="J36" s="1172"/>
      <c r="K36" s="1156"/>
      <c r="L36" s="737"/>
      <c r="M36" s="737"/>
      <c r="N36" s="737"/>
      <c r="O36" s="737"/>
      <c r="P36" s="737"/>
      <c r="Q36" s="737"/>
      <c r="R36" s="737"/>
      <c r="W36" s="738"/>
      <c r="X36" s="18"/>
      <c r="Y36" s="18"/>
      <c r="Z36" s="18"/>
      <c r="AA36" s="18"/>
      <c r="AB36" s="18"/>
      <c r="AC36" s="18"/>
      <c r="AD36" s="18"/>
      <c r="AE36" s="18"/>
      <c r="AF36" s="18"/>
      <c r="AG36" s="18"/>
      <c r="AH36" s="18"/>
      <c r="AI36" s="18"/>
      <c r="AJ36" s="18"/>
      <c r="AK36" s="18"/>
      <c r="AL36" s="18"/>
      <c r="AM36" s="18"/>
      <c r="AN36" s="18"/>
      <c r="AO36" s="18"/>
      <c r="AP36" s="18"/>
      <c r="AQ36" s="18"/>
    </row>
    <row r="37" spans="1:43" s="36" customFormat="1" ht="17.25" hidden="1" customHeight="1">
      <c r="A37" s="186"/>
      <c r="D37" s="1125"/>
      <c r="E37" s="1162"/>
      <c r="F37" s="1165"/>
      <c r="G37" s="1162"/>
      <c r="H37" s="739"/>
      <c r="I37" s="740"/>
      <c r="J37" s="740"/>
      <c r="K37" s="740"/>
      <c r="L37" s="740"/>
      <c r="M37" s="740"/>
      <c r="N37" s="740"/>
      <c r="O37" s="740"/>
      <c r="P37" s="740"/>
      <c r="Q37" s="740"/>
      <c r="R37" s="740"/>
      <c r="S37" s="741"/>
      <c r="T37" s="741"/>
      <c r="U37" s="741"/>
      <c r="V37" s="741"/>
      <c r="W37" s="742"/>
      <c r="X37" s="18"/>
      <c r="Y37" s="18"/>
      <c r="Z37" s="18"/>
      <c r="AA37" s="18"/>
      <c r="AB37" s="18"/>
      <c r="AC37" s="18"/>
      <c r="AD37" s="18"/>
      <c r="AE37" s="18"/>
      <c r="AF37" s="18"/>
      <c r="AG37" s="18"/>
      <c r="AH37" s="18"/>
      <c r="AI37" s="18"/>
      <c r="AJ37" s="18"/>
      <c r="AK37" s="18"/>
      <c r="AL37" s="18"/>
      <c r="AM37" s="18"/>
      <c r="AN37" s="18"/>
      <c r="AO37" s="18"/>
      <c r="AP37" s="18"/>
      <c r="AQ37" s="18"/>
    </row>
    <row r="38" spans="1:43" s="36" customFormat="1" ht="17.25" hidden="1" customHeight="1">
      <c r="A38" s="186"/>
      <c r="C38" s="76"/>
      <c r="D38" s="1154">
        <v>5</v>
      </c>
      <c r="E38" s="1161" t="s">
        <v>179</v>
      </c>
      <c r="F38" s="1163" t="s">
        <v>52</v>
      </c>
      <c r="G38" s="1161"/>
      <c r="H38" s="1166"/>
      <c r="I38" s="1168"/>
      <c r="J38" s="1170"/>
      <c r="K38" s="1155"/>
      <c r="L38" s="1155"/>
      <c r="M38" s="1155"/>
      <c r="N38" s="1157"/>
      <c r="O38" s="1155"/>
      <c r="P38" s="1155"/>
      <c r="Q38" s="1155"/>
      <c r="R38" s="1160"/>
      <c r="S38" s="1155"/>
      <c r="T38" s="794"/>
      <c r="U38" s="794"/>
      <c r="V38" s="793"/>
      <c r="W38" s="736"/>
      <c r="X38" s="721"/>
      <c r="Y38" s="721"/>
      <c r="Z38" s="721"/>
      <c r="AA38" s="721"/>
      <c r="AB38" s="721"/>
      <c r="AC38" s="721" t="s">
        <v>180</v>
      </c>
      <c r="AD38" s="721" t="s">
        <v>181</v>
      </c>
      <c r="AE38" s="721" t="s">
        <v>182</v>
      </c>
      <c r="AF38" s="721" t="s">
        <v>183</v>
      </c>
      <c r="AG38" s="721" t="s">
        <v>184</v>
      </c>
      <c r="AH38" s="721" t="str">
        <f>IF($E$38=0,"",$E$38)</f>
        <v>Тарифы на услуги по передаче тепловой энергии</v>
      </c>
      <c r="AI38" s="721" t="str">
        <f>IF($G$38=0,"",$G$38)</f>
        <v/>
      </c>
      <c r="AJ38" s="721" t="str">
        <f>IF($J$38=0,"",$J$38)</f>
        <v/>
      </c>
      <c r="AK38" s="721" t="str">
        <f>IF($K$38="нет","без дифференциации",IF($N$38=0,"",$N$38))</f>
        <v/>
      </c>
      <c r="AL38" s="721" t="str">
        <f>IF($O$38="нет","без дифференциации",IF($R$38=0,"",$R$38))</f>
        <v/>
      </c>
      <c r="AM38" s="721" t="str">
        <f>IF($S$38="нет","без дифференциации",IF($V$38=0,"",$V$38))</f>
        <v/>
      </c>
      <c r="AN38" s="963">
        <f>$I$38</f>
        <v>0</v>
      </c>
      <c r="AO38" s="721" t="str">
        <f>$I$38&amp;"."&amp;$M$38</f>
        <v>.</v>
      </c>
      <c r="AP38" s="18" t="str">
        <f>$I$38&amp;"."&amp;$M$38&amp;"."&amp;$Q$38</f>
        <v>..</v>
      </c>
      <c r="AQ38" s="18" t="str">
        <f>$I$38&amp;"."&amp;$M$38&amp;"."&amp;$Q$38&amp;"."&amp;$U$38</f>
        <v>...</v>
      </c>
    </row>
    <row r="39" spans="1:43" s="36" customFormat="1" ht="17.25" hidden="1" customHeight="1">
      <c r="A39" s="186"/>
      <c r="D39" s="1154"/>
      <c r="E39" s="1161"/>
      <c r="F39" s="1164"/>
      <c r="G39" s="1161"/>
      <c r="H39" s="1167"/>
      <c r="I39" s="1169"/>
      <c r="J39" s="1171"/>
      <c r="K39" s="1156"/>
      <c r="L39" s="1156"/>
      <c r="M39" s="1156"/>
      <c r="N39" s="1158"/>
      <c r="O39" s="1156"/>
      <c r="P39" s="1156"/>
      <c r="Q39" s="1156"/>
      <c r="R39" s="1159"/>
      <c r="S39" s="1156"/>
      <c r="T39" s="737"/>
      <c r="U39" s="737"/>
      <c r="V39" s="737"/>
      <c r="W39" s="738"/>
      <c r="X39" s="18"/>
      <c r="Y39" s="18"/>
      <c r="Z39" s="18"/>
      <c r="AA39" s="18"/>
      <c r="AB39" s="18"/>
      <c r="AC39" s="18"/>
      <c r="AD39" s="18"/>
      <c r="AE39" s="18"/>
      <c r="AF39" s="18"/>
      <c r="AG39" s="18"/>
      <c r="AH39" s="18"/>
      <c r="AI39" s="18"/>
      <c r="AJ39" s="18"/>
      <c r="AK39" s="18"/>
      <c r="AL39" s="18"/>
      <c r="AM39" s="18"/>
      <c r="AN39" s="18"/>
      <c r="AO39" s="18"/>
      <c r="AP39" s="18"/>
      <c r="AQ39" s="18"/>
    </row>
    <row r="40" spans="1:43" s="36" customFormat="1" ht="17.25" hidden="1" customHeight="1">
      <c r="A40" s="186"/>
      <c r="D40" s="1125"/>
      <c r="E40" s="1162"/>
      <c r="F40" s="1164"/>
      <c r="G40" s="1162"/>
      <c r="H40" s="1167"/>
      <c r="I40" s="1169"/>
      <c r="J40" s="1172"/>
      <c r="K40" s="1156"/>
      <c r="L40" s="1156"/>
      <c r="M40" s="1156"/>
      <c r="N40" s="1159"/>
      <c r="O40" s="1156"/>
      <c r="P40" s="56"/>
      <c r="Q40" s="737"/>
      <c r="R40" s="737"/>
      <c r="W40" s="738"/>
      <c r="X40" s="18"/>
      <c r="Y40" s="18"/>
      <c r="Z40" s="18"/>
      <c r="AA40" s="18"/>
      <c r="AB40" s="18"/>
      <c r="AC40" s="18"/>
      <c r="AD40" s="18"/>
      <c r="AE40" s="18"/>
      <c r="AF40" s="18"/>
      <c r="AG40" s="18"/>
      <c r="AH40" s="18"/>
      <c r="AI40" s="18"/>
      <c r="AJ40" s="18"/>
      <c r="AK40" s="18"/>
      <c r="AL40" s="18"/>
      <c r="AM40" s="18"/>
      <c r="AN40" s="18"/>
      <c r="AO40" s="18"/>
      <c r="AP40" s="18"/>
      <c r="AQ40" s="18"/>
    </row>
    <row r="41" spans="1:43" s="36" customFormat="1" ht="17.25" hidden="1" customHeight="1">
      <c r="A41" s="186"/>
      <c r="D41" s="1125"/>
      <c r="E41" s="1162"/>
      <c r="F41" s="1164"/>
      <c r="G41" s="1162"/>
      <c r="H41" s="1167"/>
      <c r="I41" s="1169"/>
      <c r="J41" s="1172"/>
      <c r="K41" s="1156"/>
      <c r="L41" s="737"/>
      <c r="M41" s="737"/>
      <c r="N41" s="737"/>
      <c r="O41" s="737"/>
      <c r="P41" s="737"/>
      <c r="Q41" s="737"/>
      <c r="R41" s="737"/>
      <c r="W41" s="738"/>
      <c r="X41" s="18"/>
      <c r="Y41" s="18"/>
      <c r="Z41" s="18"/>
      <c r="AA41" s="18"/>
      <c r="AB41" s="18"/>
      <c r="AC41" s="18"/>
      <c r="AD41" s="18"/>
      <c r="AE41" s="18"/>
      <c r="AF41" s="18"/>
      <c r="AG41" s="18"/>
      <c r="AH41" s="18"/>
      <c r="AI41" s="18"/>
      <c r="AJ41" s="18"/>
      <c r="AK41" s="18"/>
      <c r="AL41" s="18"/>
      <c r="AM41" s="18"/>
      <c r="AN41" s="18"/>
      <c r="AO41" s="18"/>
      <c r="AP41" s="18"/>
      <c r="AQ41" s="18"/>
    </row>
    <row r="42" spans="1:43" s="36" customFormat="1" ht="17.25" hidden="1" customHeight="1">
      <c r="A42" s="186"/>
      <c r="D42" s="1125"/>
      <c r="E42" s="1162"/>
      <c r="F42" s="1165"/>
      <c r="G42" s="1162"/>
      <c r="H42" s="739"/>
      <c r="I42" s="740"/>
      <c r="J42" s="740"/>
      <c r="K42" s="740"/>
      <c r="L42" s="740"/>
      <c r="M42" s="740"/>
      <c r="N42" s="740"/>
      <c r="O42" s="740"/>
      <c r="P42" s="740"/>
      <c r="Q42" s="740"/>
      <c r="R42" s="740"/>
      <c r="S42" s="741"/>
      <c r="T42" s="741"/>
      <c r="U42" s="741"/>
      <c r="V42" s="741"/>
      <c r="W42" s="742"/>
      <c r="X42" s="18"/>
      <c r="Y42" s="18"/>
      <c r="Z42" s="18"/>
      <c r="AA42" s="18"/>
      <c r="AB42" s="18"/>
      <c r="AC42" s="18"/>
      <c r="AD42" s="18"/>
      <c r="AE42" s="18"/>
      <c r="AF42" s="18"/>
      <c r="AG42" s="18"/>
      <c r="AH42" s="18"/>
      <c r="AI42" s="18"/>
      <c r="AJ42" s="18"/>
      <c r="AK42" s="18"/>
      <c r="AL42" s="18"/>
      <c r="AM42" s="18"/>
      <c r="AN42" s="18"/>
      <c r="AO42" s="18"/>
      <c r="AP42" s="18"/>
      <c r="AQ42" s="18"/>
    </row>
    <row r="43" spans="1:43" s="36" customFormat="1" ht="17.25" hidden="1" customHeight="1">
      <c r="A43" s="186"/>
      <c r="C43" s="76"/>
      <c r="D43" s="1154">
        <v>6</v>
      </c>
      <c r="E43" s="1161" t="s">
        <v>185</v>
      </c>
      <c r="F43" s="1163" t="s">
        <v>52</v>
      </c>
      <c r="G43" s="1161"/>
      <c r="H43" s="1166"/>
      <c r="I43" s="1168"/>
      <c r="J43" s="1170"/>
      <c r="K43" s="1155"/>
      <c r="L43" s="1155"/>
      <c r="M43" s="1155"/>
      <c r="N43" s="1157"/>
      <c r="O43" s="1155"/>
      <c r="P43" s="1155"/>
      <c r="Q43" s="1155"/>
      <c r="R43" s="1160"/>
      <c r="S43" s="1155"/>
      <c r="T43" s="794"/>
      <c r="U43" s="794"/>
      <c r="V43" s="793"/>
      <c r="W43" s="736"/>
      <c r="X43" s="721"/>
      <c r="Y43" s="721"/>
      <c r="Z43" s="721"/>
      <c r="AA43" s="721"/>
      <c r="AB43" s="721"/>
      <c r="AC43" s="721" t="s">
        <v>186</v>
      </c>
      <c r="AD43" s="721" t="s">
        <v>187</v>
      </c>
      <c r="AE43" s="721" t="s">
        <v>188</v>
      </c>
      <c r="AF43" s="721" t="s">
        <v>189</v>
      </c>
      <c r="AG43" s="721" t="s">
        <v>190</v>
      </c>
      <c r="AH43" s="721" t="str">
        <f>IF($E$43=0,"",$E$43)</f>
        <v>Тарифы на услуги по передаче теплоносителя</v>
      </c>
      <c r="AI43" s="721" t="str">
        <f>IF($G$43=0,"",$G$43)</f>
        <v/>
      </c>
      <c r="AJ43" s="721" t="str">
        <f>IF($J$43=0,"",$J$43)</f>
        <v/>
      </c>
      <c r="AK43" s="721" t="str">
        <f>IF($K$43="нет","без дифференциации",IF($N$43=0,"",$N$43))</f>
        <v/>
      </c>
      <c r="AL43" s="721" t="str">
        <f>IF($O$43="нет","без дифференциации",IF($R$43=0,"",$R$43))</f>
        <v/>
      </c>
      <c r="AM43" s="721" t="str">
        <f>IF($S$43="нет","без дифференциации",IF($V$43=0,"",$V$43))</f>
        <v/>
      </c>
      <c r="AN43" s="963">
        <f>$I$43</f>
        <v>0</v>
      </c>
      <c r="AO43" s="721" t="str">
        <f>$I$43&amp;"."&amp;$M$43</f>
        <v>.</v>
      </c>
      <c r="AP43" s="18" t="str">
        <f>$I$43&amp;"."&amp;$M$43&amp;"."&amp;$Q$43</f>
        <v>..</v>
      </c>
      <c r="AQ43" s="18" t="str">
        <f>$I$43&amp;"."&amp;$M$43&amp;"."&amp;$Q$43&amp;"."&amp;$U$43</f>
        <v>...</v>
      </c>
    </row>
    <row r="44" spans="1:43" s="36" customFormat="1" ht="17.25" hidden="1" customHeight="1">
      <c r="A44" s="186"/>
      <c r="D44" s="1154"/>
      <c r="E44" s="1161"/>
      <c r="F44" s="1164"/>
      <c r="G44" s="1161"/>
      <c r="H44" s="1167"/>
      <c r="I44" s="1169"/>
      <c r="J44" s="1171"/>
      <c r="K44" s="1156"/>
      <c r="L44" s="1156"/>
      <c r="M44" s="1156"/>
      <c r="N44" s="1158"/>
      <c r="O44" s="1156"/>
      <c r="P44" s="1156"/>
      <c r="Q44" s="1156"/>
      <c r="R44" s="1159"/>
      <c r="S44" s="1156"/>
      <c r="T44" s="737"/>
      <c r="U44" s="737"/>
      <c r="V44" s="737"/>
      <c r="W44" s="738"/>
      <c r="X44" s="18"/>
      <c r="Y44" s="18"/>
      <c r="Z44" s="18"/>
      <c r="AA44" s="18"/>
      <c r="AB44" s="18"/>
      <c r="AC44" s="18"/>
      <c r="AD44" s="18"/>
      <c r="AE44" s="18"/>
      <c r="AF44" s="18"/>
      <c r="AG44" s="18"/>
      <c r="AH44" s="18"/>
      <c r="AI44" s="18"/>
      <c r="AJ44" s="18"/>
      <c r="AK44" s="18"/>
      <c r="AL44" s="18"/>
      <c r="AM44" s="18"/>
      <c r="AN44" s="18"/>
      <c r="AO44" s="18"/>
      <c r="AP44" s="18"/>
      <c r="AQ44" s="18"/>
    </row>
    <row r="45" spans="1:43" s="36" customFormat="1" ht="17.25" hidden="1" customHeight="1">
      <c r="A45" s="186"/>
      <c r="D45" s="1125"/>
      <c r="E45" s="1162"/>
      <c r="F45" s="1164"/>
      <c r="G45" s="1162"/>
      <c r="H45" s="1167"/>
      <c r="I45" s="1169"/>
      <c r="J45" s="1172"/>
      <c r="K45" s="1156"/>
      <c r="L45" s="1156"/>
      <c r="M45" s="1156"/>
      <c r="N45" s="1159"/>
      <c r="O45" s="1156"/>
      <c r="P45" s="56"/>
      <c r="Q45" s="737"/>
      <c r="R45" s="737"/>
      <c r="W45" s="738"/>
      <c r="X45" s="18"/>
      <c r="Y45" s="18"/>
      <c r="Z45" s="18"/>
      <c r="AA45" s="18"/>
      <c r="AB45" s="18"/>
      <c r="AC45" s="18"/>
      <c r="AD45" s="18"/>
      <c r="AE45" s="18"/>
      <c r="AF45" s="18"/>
      <c r="AG45" s="18"/>
      <c r="AH45" s="18"/>
      <c r="AI45" s="18"/>
      <c r="AJ45" s="18"/>
      <c r="AK45" s="18"/>
      <c r="AL45" s="18"/>
      <c r="AM45" s="18"/>
      <c r="AN45" s="18"/>
      <c r="AO45" s="18"/>
      <c r="AP45" s="18"/>
      <c r="AQ45" s="18"/>
    </row>
    <row r="46" spans="1:43" s="36" customFormat="1" ht="17.25" hidden="1" customHeight="1">
      <c r="A46" s="186"/>
      <c r="C46" s="76"/>
      <c r="D46" s="1125"/>
      <c r="E46" s="1162"/>
      <c r="F46" s="1164"/>
      <c r="G46" s="1162"/>
      <c r="H46" s="1167"/>
      <c r="I46" s="1169"/>
      <c r="J46" s="1172"/>
      <c r="K46" s="1156"/>
      <c r="L46" s="737"/>
      <c r="M46" s="737"/>
      <c r="N46" s="737"/>
      <c r="O46" s="737"/>
      <c r="P46" s="737"/>
      <c r="Q46" s="737"/>
      <c r="R46" s="737"/>
      <c r="W46" s="738"/>
      <c r="Y46" s="721"/>
      <c r="Z46" s="721"/>
      <c r="AA46" s="721"/>
      <c r="AB46" s="721"/>
      <c r="AC46" s="721"/>
      <c r="AD46" s="721"/>
      <c r="AE46" s="721"/>
      <c r="AF46" s="721"/>
      <c r="AG46" s="721"/>
      <c r="AH46" s="721"/>
      <c r="AI46" s="721"/>
      <c r="AJ46" s="721"/>
      <c r="AK46" s="721"/>
      <c r="AL46" s="721"/>
      <c r="AM46" s="721"/>
      <c r="AN46" s="721"/>
      <c r="AO46" s="721"/>
      <c r="AP46" s="721"/>
      <c r="AQ46" s="721"/>
    </row>
    <row r="47" spans="1:43" s="36" customFormat="1" ht="17.25" hidden="1" customHeight="1">
      <c r="A47" s="186"/>
      <c r="D47" s="1125"/>
      <c r="E47" s="1162"/>
      <c r="F47" s="1165"/>
      <c r="G47" s="1162"/>
      <c r="H47" s="739"/>
      <c r="I47" s="740"/>
      <c r="J47" s="740"/>
      <c r="K47" s="740"/>
      <c r="L47" s="740"/>
      <c r="M47" s="740"/>
      <c r="N47" s="740"/>
      <c r="O47" s="740"/>
      <c r="P47" s="740"/>
      <c r="Q47" s="740"/>
      <c r="R47" s="740"/>
      <c r="S47" s="741"/>
      <c r="T47" s="741"/>
      <c r="U47" s="741"/>
      <c r="V47" s="741"/>
      <c r="W47" s="742"/>
      <c r="X47" s="18"/>
      <c r="Y47" s="18"/>
      <c r="Z47" s="18"/>
      <c r="AA47" s="18"/>
      <c r="AB47" s="18"/>
      <c r="AC47" s="18"/>
      <c r="AD47" s="18"/>
      <c r="AE47" s="18"/>
      <c r="AF47" s="18"/>
      <c r="AG47" s="18"/>
      <c r="AH47" s="18"/>
      <c r="AI47" s="18"/>
      <c r="AJ47" s="18"/>
      <c r="AK47" s="18"/>
      <c r="AL47" s="18"/>
      <c r="AM47" s="18"/>
      <c r="AN47" s="18"/>
      <c r="AO47" s="18"/>
      <c r="AP47" s="18"/>
      <c r="AQ47" s="18"/>
    </row>
    <row r="48" spans="1:43" s="36" customFormat="1" ht="17.25" hidden="1" customHeight="1">
      <c r="A48" s="186"/>
      <c r="C48" s="76"/>
      <c r="D48" s="1184">
        <v>7</v>
      </c>
      <c r="E48" s="1187" t="s">
        <v>191</v>
      </c>
      <c r="F48" s="1163" t="s">
        <v>52</v>
      </c>
      <c r="G48" s="1187"/>
      <c r="H48" s="1166"/>
      <c r="I48" s="1168"/>
      <c r="J48" s="1170"/>
      <c r="K48" s="1155"/>
      <c r="L48" s="1155"/>
      <c r="M48" s="1155"/>
      <c r="N48" s="1157"/>
      <c r="O48" s="1155"/>
      <c r="P48" s="1155"/>
      <c r="Q48" s="1155"/>
      <c r="R48" s="1160"/>
      <c r="S48" s="1155"/>
      <c r="T48" s="794"/>
      <c r="U48" s="794"/>
      <c r="V48" s="793"/>
      <c r="W48" s="736"/>
      <c r="X48" s="721"/>
      <c r="Y48" s="721"/>
      <c r="Z48" s="721"/>
      <c r="AA48" s="721"/>
      <c r="AB48" s="721"/>
      <c r="AC48" s="721" t="s">
        <v>192</v>
      </c>
      <c r="AD48" s="721" t="s">
        <v>193</v>
      </c>
      <c r="AE48" s="721" t="s">
        <v>194</v>
      </c>
      <c r="AF48" s="721" t="s">
        <v>195</v>
      </c>
      <c r="AG48" s="721" t="s">
        <v>196</v>
      </c>
      <c r="AH48" s="721" t="str">
        <f>IF($E$48=0,"",$E$48)</f>
        <v>Плата за услуги по поддержанию резервной тепловой мощности при отсутствии потребления тепловой энергии</v>
      </c>
      <c r="AI48" s="721" t="str">
        <f>IF($G$48=0,"",$G$48)</f>
        <v/>
      </c>
      <c r="AJ48" s="721" t="str">
        <f>IF($J$48=0,"",$J$48)</f>
        <v/>
      </c>
      <c r="AK48" s="721" t="str">
        <f>IF($K$48="нет","без дифференциации",IF($N$48=0,"",$N$48))</f>
        <v/>
      </c>
      <c r="AL48" s="721" t="str">
        <f>IF($O$48="нет","без дифференциации",IF($R$48=0,"",$R$48))</f>
        <v/>
      </c>
      <c r="AM48" s="721" t="str">
        <f>IF($S$48="нет","без дифференциации",IF($V$48=0,"",$V$48))</f>
        <v/>
      </c>
      <c r="AN48" s="963">
        <f>$I$48</f>
        <v>0</v>
      </c>
      <c r="AO48" s="721" t="str">
        <f>$I$48&amp;"."&amp;$M$48</f>
        <v>.</v>
      </c>
      <c r="AP48" s="18" t="str">
        <f>$I$48&amp;"."&amp;$M$48&amp;"."&amp;$Q$48</f>
        <v>..</v>
      </c>
      <c r="AQ48" s="18" t="str">
        <f>$I$48&amp;"."&amp;$M$48&amp;"."&amp;$Q$48&amp;"."&amp;$U$48</f>
        <v>...</v>
      </c>
    </row>
    <row r="49" spans="1:43" s="36" customFormat="1" ht="17.25" hidden="1" customHeight="1">
      <c r="A49" s="186"/>
      <c r="D49" s="1185"/>
      <c r="E49" s="1188"/>
      <c r="F49" s="1164"/>
      <c r="G49" s="1188"/>
      <c r="H49" s="1167"/>
      <c r="I49" s="1169"/>
      <c r="J49" s="1171"/>
      <c r="K49" s="1156"/>
      <c r="L49" s="1156"/>
      <c r="M49" s="1156"/>
      <c r="N49" s="1158"/>
      <c r="O49" s="1156"/>
      <c r="P49" s="1156"/>
      <c r="Q49" s="1156"/>
      <c r="R49" s="1159"/>
      <c r="S49" s="1156"/>
      <c r="T49" s="737"/>
      <c r="U49" s="737"/>
      <c r="V49" s="737"/>
      <c r="W49" s="738"/>
      <c r="X49" s="18"/>
      <c r="Y49" s="18"/>
      <c r="Z49" s="18"/>
      <c r="AA49" s="18"/>
      <c r="AB49" s="18"/>
      <c r="AC49" s="18"/>
      <c r="AD49" s="18"/>
      <c r="AE49" s="18"/>
      <c r="AF49" s="18"/>
      <c r="AG49" s="18"/>
      <c r="AH49" s="18"/>
      <c r="AI49" s="18"/>
      <c r="AJ49" s="18"/>
      <c r="AK49" s="18"/>
      <c r="AL49" s="18"/>
      <c r="AM49" s="18"/>
      <c r="AN49" s="18"/>
      <c r="AO49" s="18"/>
      <c r="AP49" s="18"/>
      <c r="AQ49" s="18"/>
    </row>
    <row r="50" spans="1:43" s="36" customFormat="1" ht="17.25" hidden="1" customHeight="1">
      <c r="A50" s="186"/>
      <c r="D50" s="1185"/>
      <c r="E50" s="1188"/>
      <c r="F50" s="1164"/>
      <c r="G50" s="1188"/>
      <c r="H50" s="1167"/>
      <c r="I50" s="1169"/>
      <c r="J50" s="1172"/>
      <c r="K50" s="1156"/>
      <c r="L50" s="1156"/>
      <c r="M50" s="1156"/>
      <c r="N50" s="1159"/>
      <c r="O50" s="1156"/>
      <c r="P50" s="56"/>
      <c r="Q50" s="737"/>
      <c r="R50" s="737"/>
      <c r="W50" s="738"/>
      <c r="X50" s="18"/>
      <c r="Y50" s="18"/>
      <c r="Z50" s="18"/>
      <c r="AA50" s="18"/>
      <c r="AB50" s="18"/>
      <c r="AC50" s="18"/>
      <c r="AD50" s="18"/>
      <c r="AE50" s="18"/>
      <c r="AF50" s="18"/>
      <c r="AG50" s="18"/>
      <c r="AH50" s="18"/>
      <c r="AI50" s="18"/>
      <c r="AJ50" s="18"/>
      <c r="AK50" s="18"/>
      <c r="AL50" s="18"/>
      <c r="AM50" s="18"/>
      <c r="AN50" s="18"/>
      <c r="AO50" s="18"/>
      <c r="AP50" s="18"/>
      <c r="AQ50" s="18"/>
    </row>
    <row r="51" spans="1:43" s="36" customFormat="1" ht="17.25" hidden="1" customHeight="1">
      <c r="A51" s="186"/>
      <c r="C51" s="76"/>
      <c r="D51" s="1185"/>
      <c r="E51" s="1188"/>
      <c r="F51" s="1164"/>
      <c r="G51" s="1188"/>
      <c r="H51" s="1167"/>
      <c r="I51" s="1169"/>
      <c r="J51" s="1172"/>
      <c r="K51" s="1156"/>
      <c r="L51" s="737"/>
      <c r="M51" s="737"/>
      <c r="N51" s="737"/>
      <c r="O51" s="737"/>
      <c r="P51" s="737"/>
      <c r="Q51" s="737"/>
      <c r="R51" s="737"/>
      <c r="W51" s="738"/>
      <c r="Y51" s="721"/>
      <c r="Z51" s="721"/>
      <c r="AA51" s="721"/>
      <c r="AB51" s="721"/>
      <c r="AC51" s="721"/>
      <c r="AD51" s="721"/>
      <c r="AE51" s="721"/>
      <c r="AF51" s="721"/>
      <c r="AG51" s="721"/>
      <c r="AH51" s="721"/>
      <c r="AI51" s="721"/>
      <c r="AJ51" s="721"/>
      <c r="AK51" s="721"/>
      <c r="AL51" s="721"/>
      <c r="AM51" s="721"/>
      <c r="AN51" s="721"/>
      <c r="AO51" s="721"/>
      <c r="AP51" s="721"/>
      <c r="AQ51" s="721"/>
    </row>
    <row r="52" spans="1:43" s="36" customFormat="1" ht="17.25" hidden="1" customHeight="1">
      <c r="A52" s="186"/>
      <c r="D52" s="1186"/>
      <c r="E52" s="1189"/>
      <c r="F52" s="1165"/>
      <c r="G52" s="1189"/>
      <c r="H52" s="739"/>
      <c r="I52" s="740"/>
      <c r="J52" s="740"/>
      <c r="K52" s="740"/>
      <c r="L52" s="740"/>
      <c r="M52" s="740"/>
      <c r="N52" s="740"/>
      <c r="O52" s="740"/>
      <c r="P52" s="740"/>
      <c r="Q52" s="740"/>
      <c r="R52" s="740"/>
      <c r="S52" s="741"/>
      <c r="T52" s="741"/>
      <c r="U52" s="741"/>
      <c r="V52" s="741"/>
      <c r="W52" s="742"/>
      <c r="X52" s="18"/>
      <c r="Y52" s="18"/>
      <c r="Z52" s="18"/>
      <c r="AA52" s="18"/>
      <c r="AB52" s="18"/>
      <c r="AC52" s="18"/>
      <c r="AD52" s="18"/>
      <c r="AE52" s="18"/>
      <c r="AF52" s="18"/>
      <c r="AG52" s="18"/>
      <c r="AH52" s="18"/>
      <c r="AI52" s="18"/>
      <c r="AJ52" s="18"/>
      <c r="AK52" s="18"/>
      <c r="AL52" s="18"/>
      <c r="AM52" s="18"/>
      <c r="AN52" s="18"/>
      <c r="AO52" s="18"/>
      <c r="AP52" s="18"/>
      <c r="AQ52" s="18"/>
    </row>
    <row r="53" spans="1:43" s="36" customFormat="1" ht="17.25" hidden="1" customHeight="1">
      <c r="A53" s="186"/>
      <c r="C53" s="76"/>
      <c r="D53" s="1154">
        <v>8</v>
      </c>
      <c r="E53" s="1161" t="s">
        <v>197</v>
      </c>
      <c r="F53" s="1163" t="s">
        <v>52</v>
      </c>
      <c r="G53" s="1161"/>
      <c r="H53" s="1166"/>
      <c r="I53" s="1168"/>
      <c r="J53" s="1170"/>
      <c r="K53" s="1155"/>
      <c r="L53" s="1155"/>
      <c r="M53" s="1155"/>
      <c r="N53" s="1157"/>
      <c r="O53" s="1155"/>
      <c r="P53" s="1155"/>
      <c r="Q53" s="1155"/>
      <c r="R53" s="1160"/>
      <c r="S53" s="1155"/>
      <c r="T53" s="794"/>
      <c r="U53" s="794"/>
      <c r="V53" s="793"/>
      <c r="W53" s="736"/>
      <c r="X53" s="721"/>
      <c r="Y53" s="721"/>
      <c r="Z53" s="721"/>
      <c r="AA53" s="721"/>
      <c r="AB53" s="721"/>
      <c r="AC53" s="721" t="s">
        <v>198</v>
      </c>
      <c r="AD53" s="721" t="s">
        <v>199</v>
      </c>
      <c r="AE53" s="721" t="s">
        <v>200</v>
      </c>
      <c r="AF53" s="721" t="s">
        <v>201</v>
      </c>
      <c r="AG53" s="721" t="s">
        <v>202</v>
      </c>
      <c r="AH53" s="721" t="str">
        <f>IF($E$53=0,"",$E$53)</f>
        <v>Плата за подключение (технологическое присоединение) к системе теплоснабжения</v>
      </c>
      <c r="AI53" s="721" t="str">
        <f>IF($G$53=0,"",$G$53)</f>
        <v/>
      </c>
      <c r="AJ53" s="721" t="str">
        <f>IF($J$53=0,"",$J$53)</f>
        <v/>
      </c>
      <c r="AK53" s="721" t="str">
        <f>IF($K$53="нет","без дифференциации",IF($N$53=0,"",$N$53))</f>
        <v/>
      </c>
      <c r="AL53" s="721" t="str">
        <f>IF($O$53="нет","без дифференциации",IF($R$53=0,"",$R$53))</f>
        <v/>
      </c>
      <c r="AM53" s="721" t="str">
        <f>IF($S$53="нет","без дифференциации",IF($V$53=0,"",$V$53))</f>
        <v/>
      </c>
      <c r="AN53" s="963">
        <f>$I$53</f>
        <v>0</v>
      </c>
      <c r="AO53" s="721" t="str">
        <f>$I$53&amp;"."&amp;$M$53</f>
        <v>.</v>
      </c>
      <c r="AP53" s="18" t="str">
        <f>$I$53&amp;"."&amp;$M$53&amp;"."&amp;$Q$53</f>
        <v>..</v>
      </c>
      <c r="AQ53" s="18" t="str">
        <f>$I$53&amp;"."&amp;$M$53&amp;"."&amp;$Q$53&amp;"."&amp;$U$53</f>
        <v>...</v>
      </c>
    </row>
    <row r="54" spans="1:43" s="36" customFormat="1" ht="17.25" hidden="1" customHeight="1">
      <c r="A54" s="186"/>
      <c r="D54" s="1154"/>
      <c r="E54" s="1161"/>
      <c r="F54" s="1164"/>
      <c r="G54" s="1161"/>
      <c r="H54" s="1167"/>
      <c r="I54" s="1169"/>
      <c r="J54" s="1171"/>
      <c r="K54" s="1156"/>
      <c r="L54" s="1156"/>
      <c r="M54" s="1156"/>
      <c r="N54" s="1158"/>
      <c r="O54" s="1156"/>
      <c r="P54" s="1156"/>
      <c r="Q54" s="1156"/>
      <c r="R54" s="1159"/>
      <c r="S54" s="1156"/>
      <c r="T54" s="737"/>
      <c r="U54" s="737"/>
      <c r="V54" s="737"/>
      <c r="W54" s="738"/>
      <c r="X54" s="18"/>
      <c r="Y54" s="18"/>
      <c r="Z54" s="18"/>
      <c r="AA54" s="18"/>
      <c r="AB54" s="18"/>
      <c r="AC54" s="18"/>
      <c r="AD54" s="18"/>
      <c r="AE54" s="18"/>
      <c r="AF54" s="18"/>
      <c r="AG54" s="18"/>
      <c r="AH54" s="18"/>
      <c r="AI54" s="18"/>
      <c r="AJ54" s="18"/>
      <c r="AK54" s="18"/>
      <c r="AL54" s="18"/>
      <c r="AM54" s="18"/>
      <c r="AN54" s="18"/>
      <c r="AO54" s="18"/>
      <c r="AP54" s="18"/>
      <c r="AQ54" s="18"/>
    </row>
    <row r="55" spans="1:43" s="36" customFormat="1" ht="17.25" hidden="1" customHeight="1">
      <c r="A55" s="186"/>
      <c r="D55" s="1125"/>
      <c r="E55" s="1162"/>
      <c r="F55" s="1164"/>
      <c r="G55" s="1162"/>
      <c r="H55" s="1167"/>
      <c r="I55" s="1169"/>
      <c r="J55" s="1172"/>
      <c r="K55" s="1156"/>
      <c r="L55" s="1156"/>
      <c r="M55" s="1156"/>
      <c r="N55" s="1159"/>
      <c r="O55" s="1156"/>
      <c r="P55" s="56"/>
      <c r="Q55" s="737"/>
      <c r="R55" s="737"/>
      <c r="W55" s="738"/>
      <c r="X55" s="18"/>
      <c r="Y55" s="18"/>
      <c r="Z55" s="18"/>
      <c r="AA55" s="18"/>
      <c r="AB55" s="18"/>
      <c r="AC55" s="18"/>
      <c r="AD55" s="18"/>
      <c r="AE55" s="18"/>
      <c r="AF55" s="18"/>
      <c r="AG55" s="18"/>
      <c r="AH55" s="18"/>
      <c r="AI55" s="18"/>
      <c r="AJ55" s="18"/>
      <c r="AK55" s="18"/>
      <c r="AL55" s="18"/>
      <c r="AM55" s="18"/>
      <c r="AN55" s="18"/>
      <c r="AO55" s="18"/>
      <c r="AP55" s="18"/>
      <c r="AQ55" s="18"/>
    </row>
    <row r="56" spans="1:43" s="36" customFormat="1" ht="17.25" hidden="1" customHeight="1">
      <c r="A56" s="186"/>
      <c r="C56" s="76"/>
      <c r="D56" s="1125"/>
      <c r="E56" s="1162"/>
      <c r="F56" s="1164"/>
      <c r="G56" s="1162"/>
      <c r="H56" s="1167"/>
      <c r="I56" s="1169"/>
      <c r="J56" s="1172"/>
      <c r="K56" s="1156"/>
      <c r="L56" s="737"/>
      <c r="M56" s="737"/>
      <c r="N56" s="737"/>
      <c r="O56" s="737"/>
      <c r="P56" s="737"/>
      <c r="Q56" s="737"/>
      <c r="R56" s="737"/>
      <c r="W56" s="738"/>
      <c r="Y56" s="721"/>
      <c r="Z56" s="721"/>
      <c r="AA56" s="721"/>
      <c r="AB56" s="721"/>
      <c r="AC56" s="721"/>
      <c r="AD56" s="721"/>
      <c r="AE56" s="721"/>
      <c r="AF56" s="721"/>
      <c r="AG56" s="721"/>
      <c r="AH56" s="721"/>
      <c r="AI56" s="721"/>
      <c r="AJ56" s="721"/>
      <c r="AK56" s="721"/>
      <c r="AL56" s="721"/>
      <c r="AM56" s="721"/>
      <c r="AN56" s="721"/>
      <c r="AO56" s="721"/>
      <c r="AP56" s="721"/>
      <c r="AQ56" s="721"/>
    </row>
    <row r="57" spans="1:43" s="36" customFormat="1" ht="17.25" hidden="1" customHeight="1">
      <c r="A57" s="186"/>
      <c r="D57" s="1125"/>
      <c r="E57" s="1162"/>
      <c r="F57" s="1165"/>
      <c r="G57" s="1162"/>
      <c r="H57" s="739"/>
      <c r="I57" s="740"/>
      <c r="J57" s="740"/>
      <c r="K57" s="740"/>
      <c r="L57" s="740"/>
      <c r="M57" s="740"/>
      <c r="N57" s="740"/>
      <c r="O57" s="740"/>
      <c r="P57" s="740"/>
      <c r="Q57" s="740"/>
      <c r="R57" s="740"/>
      <c r="S57" s="741"/>
      <c r="T57" s="741"/>
      <c r="U57" s="741"/>
      <c r="V57" s="741"/>
      <c r="W57" s="742"/>
      <c r="X57" s="18"/>
      <c r="Y57" s="18"/>
      <c r="Z57" s="18"/>
      <c r="AA57" s="18"/>
      <c r="AB57" s="18"/>
      <c r="AC57" s="18"/>
      <c r="AD57" s="18"/>
      <c r="AE57" s="18"/>
      <c r="AF57" s="18"/>
      <c r="AG57" s="18"/>
      <c r="AH57" s="18"/>
      <c r="AI57" s="18"/>
      <c r="AJ57" s="18"/>
      <c r="AK57" s="18"/>
      <c r="AL57" s="18"/>
      <c r="AM57" s="18"/>
      <c r="AN57" s="18"/>
      <c r="AO57" s="18"/>
      <c r="AP57" s="18"/>
      <c r="AQ57" s="18"/>
    </row>
    <row r="58" spans="1:43" s="36" customFormat="1" ht="17.25" hidden="1" customHeight="1">
      <c r="A58" s="186"/>
      <c r="C58" s="76"/>
      <c r="D58" s="1154">
        <v>9</v>
      </c>
      <c r="E58" s="1161" t="s">
        <v>203</v>
      </c>
      <c r="F58" s="1163" t="s">
        <v>52</v>
      </c>
      <c r="G58" s="1161"/>
      <c r="H58" s="1166"/>
      <c r="I58" s="1168"/>
      <c r="J58" s="1170"/>
      <c r="K58" s="1155"/>
      <c r="L58" s="1155"/>
      <c r="M58" s="1155"/>
      <c r="N58" s="1157"/>
      <c r="O58" s="1155"/>
      <c r="P58" s="1155"/>
      <c r="Q58" s="1155"/>
      <c r="R58" s="1160"/>
      <c r="S58" s="1155"/>
      <c r="T58" s="794"/>
      <c r="U58" s="794"/>
      <c r="V58" s="793"/>
      <c r="W58" s="736"/>
      <c r="X58" s="721"/>
      <c r="Y58" s="721"/>
      <c r="Z58" s="721"/>
      <c r="AA58" s="721"/>
      <c r="AB58" s="721"/>
      <c r="AC58" s="721" t="s">
        <v>204</v>
      </c>
      <c r="AD58" s="721" t="s">
        <v>205</v>
      </c>
      <c r="AE58" s="721" t="s">
        <v>206</v>
      </c>
      <c r="AF58" s="721" t="s">
        <v>207</v>
      </c>
      <c r="AG58" s="721" t="s">
        <v>208</v>
      </c>
      <c r="AH58" s="721" t="str">
        <f>IF($E$58=0,"",$E$58)</f>
        <v>Плата за подключение (технологическое присоединение) к системе теплоснабжения (индивидуальная)</v>
      </c>
      <c r="AI58" s="721" t="str">
        <f>IF($G$58=0,"",$G$58)</f>
        <v/>
      </c>
      <c r="AJ58" s="721" t="str">
        <f>IF($J$58=0,"",$J$58)</f>
        <v/>
      </c>
      <c r="AK58" s="721" t="str">
        <f>IF($K$58="нет","без дифференциации",IF($N$58=0,"",$N$58))</f>
        <v/>
      </c>
      <c r="AL58" s="721" t="str">
        <f>IF($O$58="нет","без дифференциации",IF($R$58=0,"",$R$58))</f>
        <v/>
      </c>
      <c r="AM58" s="721" t="str">
        <f>IF($S$58="нет","без дифференциации",IF($V$58=0,"",$V$58))</f>
        <v/>
      </c>
      <c r="AN58" s="963">
        <f>$I$58</f>
        <v>0</v>
      </c>
      <c r="AO58" s="721" t="str">
        <f>$I$58&amp;"."&amp;$M$58</f>
        <v>.</v>
      </c>
      <c r="AP58" s="18" t="str">
        <f>$I$58&amp;"."&amp;$M$58&amp;"."&amp;$Q$58</f>
        <v>..</v>
      </c>
      <c r="AQ58" s="18" t="str">
        <f>$I$58&amp;"."&amp;$M$58&amp;"."&amp;$Q$58&amp;"."&amp;$U$58</f>
        <v>...</v>
      </c>
    </row>
    <row r="59" spans="1:43" s="36" customFormat="1" ht="17.25" hidden="1" customHeight="1">
      <c r="A59" s="186"/>
      <c r="D59" s="1154"/>
      <c r="E59" s="1161"/>
      <c r="F59" s="1164"/>
      <c r="G59" s="1161"/>
      <c r="H59" s="1167"/>
      <c r="I59" s="1169"/>
      <c r="J59" s="1171"/>
      <c r="K59" s="1156"/>
      <c r="L59" s="1156"/>
      <c r="M59" s="1156"/>
      <c r="N59" s="1158"/>
      <c r="O59" s="1156"/>
      <c r="P59" s="1156"/>
      <c r="Q59" s="1156"/>
      <c r="R59" s="1159"/>
      <c r="S59" s="1156"/>
      <c r="T59" s="737"/>
      <c r="U59" s="737"/>
      <c r="V59" s="737"/>
      <c r="W59" s="738"/>
      <c r="X59" s="18"/>
      <c r="Y59" s="18"/>
      <c r="Z59" s="18"/>
      <c r="AA59" s="18"/>
      <c r="AB59" s="18"/>
      <c r="AC59" s="18"/>
      <c r="AD59" s="18"/>
      <c r="AE59" s="18"/>
      <c r="AF59" s="18"/>
      <c r="AG59" s="18"/>
      <c r="AH59" s="18"/>
      <c r="AI59" s="18"/>
      <c r="AJ59" s="18"/>
      <c r="AK59" s="18"/>
      <c r="AL59" s="18"/>
      <c r="AM59" s="18"/>
      <c r="AN59" s="18"/>
      <c r="AO59" s="18"/>
      <c r="AP59" s="18"/>
      <c r="AQ59" s="18"/>
    </row>
    <row r="60" spans="1:43" s="36" customFormat="1" ht="17.25" hidden="1" customHeight="1">
      <c r="A60" s="186"/>
      <c r="D60" s="1125"/>
      <c r="E60" s="1162"/>
      <c r="F60" s="1164"/>
      <c r="G60" s="1162"/>
      <c r="H60" s="1167"/>
      <c r="I60" s="1169"/>
      <c r="J60" s="1172"/>
      <c r="K60" s="1156"/>
      <c r="L60" s="1156"/>
      <c r="M60" s="1156"/>
      <c r="N60" s="1159"/>
      <c r="O60" s="1156"/>
      <c r="P60" s="56"/>
      <c r="Q60" s="737"/>
      <c r="R60" s="737"/>
      <c r="W60" s="738"/>
      <c r="X60" s="18"/>
      <c r="Y60" s="18"/>
      <c r="Z60" s="18"/>
      <c r="AA60" s="18"/>
      <c r="AB60" s="18"/>
      <c r="AC60" s="18"/>
      <c r="AD60" s="18"/>
      <c r="AE60" s="18"/>
      <c r="AF60" s="18"/>
      <c r="AG60" s="18"/>
      <c r="AH60" s="18"/>
      <c r="AI60" s="18"/>
      <c r="AJ60" s="18"/>
      <c r="AK60" s="18"/>
      <c r="AL60" s="18"/>
      <c r="AM60" s="18"/>
      <c r="AN60" s="18"/>
      <c r="AO60" s="18"/>
      <c r="AP60" s="18"/>
      <c r="AQ60" s="18"/>
    </row>
    <row r="61" spans="1:43" s="36" customFormat="1" ht="17.25" hidden="1" customHeight="1">
      <c r="A61" s="186"/>
      <c r="C61" s="76"/>
      <c r="D61" s="1125"/>
      <c r="E61" s="1162"/>
      <c r="F61" s="1164"/>
      <c r="G61" s="1162"/>
      <c r="H61" s="1167"/>
      <c r="I61" s="1169"/>
      <c r="J61" s="1172"/>
      <c r="K61" s="1156"/>
      <c r="L61" s="737"/>
      <c r="M61" s="737"/>
      <c r="N61" s="737"/>
      <c r="O61" s="737"/>
      <c r="P61" s="737"/>
      <c r="Q61" s="737"/>
      <c r="R61" s="737"/>
      <c r="W61" s="738"/>
      <c r="Y61" s="721"/>
      <c r="Z61" s="721"/>
      <c r="AA61" s="721"/>
      <c r="AB61" s="721"/>
      <c r="AC61" s="721"/>
      <c r="AD61" s="721"/>
      <c r="AE61" s="721"/>
      <c r="AF61" s="721"/>
      <c r="AG61" s="721"/>
      <c r="AH61" s="721"/>
      <c r="AI61" s="721"/>
      <c r="AJ61" s="721"/>
      <c r="AK61" s="721"/>
      <c r="AL61" s="721"/>
      <c r="AM61" s="721"/>
      <c r="AN61" s="721"/>
      <c r="AO61" s="721"/>
      <c r="AP61" s="721"/>
      <c r="AQ61" s="721"/>
    </row>
    <row r="62" spans="1:43" s="36" customFormat="1" ht="17.25" hidden="1" customHeight="1">
      <c r="A62" s="186"/>
      <c r="D62" s="1125"/>
      <c r="E62" s="1162"/>
      <c r="F62" s="1165"/>
      <c r="G62" s="1162"/>
      <c r="H62" s="739"/>
      <c r="I62" s="740"/>
      <c r="J62" s="740"/>
      <c r="K62" s="740"/>
      <c r="L62" s="740"/>
      <c r="M62" s="740"/>
      <c r="N62" s="740"/>
      <c r="O62" s="740"/>
      <c r="P62" s="740"/>
      <c r="Q62" s="740"/>
      <c r="R62" s="740"/>
      <c r="S62" s="741"/>
      <c r="T62" s="741"/>
      <c r="U62" s="741"/>
      <c r="V62" s="741"/>
      <c r="W62" s="742"/>
      <c r="X62" s="18"/>
      <c r="Y62" s="18"/>
      <c r="Z62" s="18"/>
      <c r="AA62" s="18"/>
      <c r="AB62" s="18"/>
      <c r="AC62" s="18"/>
      <c r="AD62" s="18"/>
      <c r="AE62" s="18"/>
      <c r="AF62" s="18"/>
      <c r="AG62" s="18"/>
      <c r="AH62" s="18"/>
      <c r="AI62" s="18"/>
      <c r="AJ62" s="18"/>
      <c r="AK62" s="18"/>
      <c r="AL62" s="18"/>
      <c r="AM62" s="18"/>
      <c r="AN62" s="18"/>
      <c r="AO62" s="18"/>
      <c r="AP62" s="18"/>
      <c r="AQ62" s="18"/>
    </row>
    <row r="63" spans="1:43" s="36" customFormat="1" ht="17.25" hidden="1" customHeight="1">
      <c r="A63" s="186"/>
      <c r="C63" s="76"/>
      <c r="D63" s="1154">
        <v>10</v>
      </c>
      <c r="E63" s="1161" t="s">
        <v>209</v>
      </c>
      <c r="F63" s="1163" t="s">
        <v>52</v>
      </c>
      <c r="G63" s="1161"/>
      <c r="H63" s="1166"/>
      <c r="I63" s="1168"/>
      <c r="J63" s="1170"/>
      <c r="K63" s="1155"/>
      <c r="L63" s="1155"/>
      <c r="M63" s="1155"/>
      <c r="N63" s="1157"/>
      <c r="O63" s="1155"/>
      <c r="P63" s="1155"/>
      <c r="Q63" s="1155"/>
      <c r="R63" s="1160"/>
      <c r="S63" s="1155"/>
      <c r="T63" s="794"/>
      <c r="U63" s="794"/>
      <c r="V63" s="793"/>
      <c r="W63" s="736"/>
      <c r="X63" s="721"/>
      <c r="Y63" s="721"/>
      <c r="Z63" s="721"/>
      <c r="AA63" s="721"/>
      <c r="AB63" s="721"/>
      <c r="AC63" s="721" t="s">
        <v>210</v>
      </c>
      <c r="AD63" s="721" t="s">
        <v>211</v>
      </c>
      <c r="AE63" s="721" t="s">
        <v>212</v>
      </c>
      <c r="AF63" s="721" t="s">
        <v>213</v>
      </c>
      <c r="AG63" s="721" t="s">
        <v>214</v>
      </c>
      <c r="AH63" s="721" t="str">
        <f>IF($E$63=0,"",$E$63)</f>
        <v>Предельный уровень цены на тепловую энергию (мощность), поставляемую теплоснабжающими организациями потребителям</v>
      </c>
      <c r="AI63" s="721" t="str">
        <f>IF($G$63=0,"",$G$63)</f>
        <v/>
      </c>
      <c r="AJ63" s="721" t="str">
        <f>IF($J$63=0,"",$J$63)</f>
        <v/>
      </c>
      <c r="AK63" s="721" t="str">
        <f>IF($K$63="нет","без дифференциации",IF($N$63=0,"",$N$63))</f>
        <v/>
      </c>
      <c r="AL63" s="721" t="str">
        <f>IF($O$63="нет","без дифференциации",IF($R$63=0,"",$R$63))</f>
        <v/>
      </c>
      <c r="AM63" s="721" t="str">
        <f>IF($S$63="нет","без дифференциации",IF($V$63=0,"",$V$63))</f>
        <v/>
      </c>
      <c r="AN63" s="963">
        <f>$I$63</f>
        <v>0</v>
      </c>
      <c r="AO63" s="721" t="str">
        <f>$I$63&amp;"."&amp;$M$63</f>
        <v>.</v>
      </c>
      <c r="AP63" s="18" t="str">
        <f>$I$63&amp;"."&amp;$M$63&amp;"."&amp;$Q$63</f>
        <v>..</v>
      </c>
      <c r="AQ63" s="18" t="str">
        <f>$I$63&amp;"."&amp;$M$63&amp;"."&amp;$Q$63&amp;"."&amp;$U$63</f>
        <v>...</v>
      </c>
    </row>
    <row r="64" spans="1:43" s="36" customFormat="1" ht="17.25" hidden="1" customHeight="1">
      <c r="A64" s="186"/>
      <c r="D64" s="1154"/>
      <c r="E64" s="1161"/>
      <c r="F64" s="1164"/>
      <c r="G64" s="1161"/>
      <c r="H64" s="1167"/>
      <c r="I64" s="1169"/>
      <c r="J64" s="1171"/>
      <c r="K64" s="1156"/>
      <c r="L64" s="1156"/>
      <c r="M64" s="1156"/>
      <c r="N64" s="1158"/>
      <c r="O64" s="1156"/>
      <c r="P64" s="1156"/>
      <c r="Q64" s="1156"/>
      <c r="R64" s="1159"/>
      <c r="S64" s="1156"/>
      <c r="T64" s="737"/>
      <c r="U64" s="737"/>
      <c r="V64" s="737"/>
      <c r="W64" s="738"/>
      <c r="X64" s="18"/>
      <c r="Y64" s="18"/>
      <c r="Z64" s="18"/>
      <c r="AA64" s="18"/>
      <c r="AB64" s="18"/>
      <c r="AC64" s="18"/>
      <c r="AD64" s="18"/>
      <c r="AE64" s="18"/>
      <c r="AF64" s="18"/>
      <c r="AG64" s="18"/>
      <c r="AH64" s="18"/>
      <c r="AI64" s="18"/>
      <c r="AJ64" s="18"/>
      <c r="AK64" s="18"/>
      <c r="AL64" s="18"/>
      <c r="AM64" s="18"/>
      <c r="AN64" s="18"/>
      <c r="AO64" s="18"/>
      <c r="AP64" s="18"/>
      <c r="AQ64" s="18"/>
    </row>
    <row r="65" spans="1:43" s="36" customFormat="1" ht="17.25" hidden="1" customHeight="1">
      <c r="A65" s="186"/>
      <c r="D65" s="1125"/>
      <c r="E65" s="1162"/>
      <c r="F65" s="1164"/>
      <c r="G65" s="1162"/>
      <c r="H65" s="1167"/>
      <c r="I65" s="1169"/>
      <c r="J65" s="1172"/>
      <c r="K65" s="1156"/>
      <c r="L65" s="1156"/>
      <c r="M65" s="1156"/>
      <c r="N65" s="1159"/>
      <c r="O65" s="1156"/>
      <c r="P65" s="56"/>
      <c r="Q65" s="737"/>
      <c r="R65" s="737"/>
      <c r="W65" s="738"/>
      <c r="X65" s="18"/>
      <c r="Y65" s="18"/>
      <c r="Z65" s="18"/>
      <c r="AA65" s="18"/>
      <c r="AB65" s="18"/>
      <c r="AC65" s="18"/>
      <c r="AD65" s="18"/>
      <c r="AE65" s="18"/>
      <c r="AF65" s="18"/>
      <c r="AG65" s="18"/>
      <c r="AH65" s="18"/>
      <c r="AI65" s="18"/>
      <c r="AJ65" s="18"/>
      <c r="AK65" s="18"/>
      <c r="AL65" s="18"/>
      <c r="AM65" s="18"/>
      <c r="AN65" s="18"/>
      <c r="AO65" s="18"/>
      <c r="AP65" s="18"/>
      <c r="AQ65" s="18"/>
    </row>
    <row r="66" spans="1:43" s="36" customFormat="1" ht="17.25" hidden="1" customHeight="1">
      <c r="A66" s="186"/>
      <c r="C66" s="76"/>
      <c r="D66" s="1125"/>
      <c r="E66" s="1162"/>
      <c r="F66" s="1164"/>
      <c r="G66" s="1162"/>
      <c r="H66" s="1167"/>
      <c r="I66" s="1169"/>
      <c r="J66" s="1172"/>
      <c r="K66" s="1156"/>
      <c r="L66" s="737"/>
      <c r="M66" s="737"/>
      <c r="N66" s="737"/>
      <c r="O66" s="737"/>
      <c r="P66" s="737"/>
      <c r="Q66" s="737"/>
      <c r="R66" s="737"/>
      <c r="W66" s="738"/>
      <c r="Y66" s="721"/>
      <c r="Z66" s="721"/>
      <c r="AA66" s="721"/>
      <c r="AB66" s="721"/>
      <c r="AC66" s="721"/>
      <c r="AD66" s="721"/>
      <c r="AE66" s="721"/>
      <c r="AF66" s="721"/>
      <c r="AG66" s="721"/>
      <c r="AH66" s="721"/>
      <c r="AI66" s="721"/>
      <c r="AJ66" s="721"/>
      <c r="AK66" s="721"/>
      <c r="AL66" s="721"/>
      <c r="AM66" s="721"/>
      <c r="AN66" s="721"/>
      <c r="AO66" s="721"/>
      <c r="AP66" s="721"/>
      <c r="AQ66" s="721"/>
    </row>
    <row r="67" spans="1:43" s="36" customFormat="1" ht="17.25" hidden="1" customHeight="1">
      <c r="A67" s="186"/>
      <c r="D67" s="1125"/>
      <c r="E67" s="1162"/>
      <c r="F67" s="1165"/>
      <c r="G67" s="1162"/>
      <c r="H67" s="739"/>
      <c r="I67" s="740"/>
      <c r="J67" s="740"/>
      <c r="K67" s="740"/>
      <c r="L67" s="740"/>
      <c r="M67" s="740"/>
      <c r="N67" s="740"/>
      <c r="O67" s="740"/>
      <c r="P67" s="740"/>
      <c r="Q67" s="740"/>
      <c r="R67" s="740"/>
      <c r="S67" s="741"/>
      <c r="T67" s="741"/>
      <c r="U67" s="741"/>
      <c r="V67" s="741"/>
      <c r="W67" s="742"/>
      <c r="X67" s="18"/>
      <c r="Y67" s="18"/>
      <c r="Z67" s="18"/>
      <c r="AA67" s="18"/>
      <c r="AB67" s="18"/>
      <c r="AC67" s="18"/>
      <c r="AD67" s="18"/>
      <c r="AE67" s="18"/>
      <c r="AF67" s="18"/>
      <c r="AG67" s="18"/>
      <c r="AH67" s="18"/>
      <c r="AI67" s="18"/>
      <c r="AJ67" s="18"/>
      <c r="AK67" s="18"/>
      <c r="AL67" s="18"/>
      <c r="AM67" s="18"/>
      <c r="AN67" s="18"/>
      <c r="AO67" s="18"/>
      <c r="AP67" s="18"/>
      <c r="AQ67" s="18"/>
    </row>
    <row r="68" spans="1:43" ht="11.25" hidden="1" customHeight="1"/>
    <row r="69" spans="1:43" ht="11.25" hidden="1" customHeight="1">
      <c r="E69" s="1192" t="s">
        <v>215</v>
      </c>
      <c r="F69" s="1192"/>
      <c r="G69" s="1192"/>
      <c r="H69" s="1192"/>
      <c r="I69" s="1192"/>
      <c r="J69" s="1192"/>
      <c r="K69" s="1192"/>
      <c r="L69" s="1192"/>
      <c r="M69" s="1192"/>
      <c r="N69" s="1192"/>
      <c r="O69" s="1192"/>
      <c r="P69" s="1192"/>
      <c r="Q69" s="1192"/>
      <c r="R69" s="1192"/>
      <c r="S69" s="1192"/>
      <c r="T69" s="1192"/>
      <c r="U69" s="1192"/>
      <c r="V69" s="1192"/>
      <c r="W69" s="1192"/>
    </row>
    <row r="70" spans="1:43" ht="36.75" hidden="1" customHeight="1">
      <c r="E70" s="1190" t="s">
        <v>216</v>
      </c>
      <c r="F70" s="1190"/>
      <c r="G70" s="1191"/>
      <c r="H70" s="1191"/>
      <c r="I70" s="1191"/>
      <c r="J70" s="1191"/>
      <c r="K70" s="1191"/>
      <c r="L70" s="1191"/>
      <c r="M70" s="1191"/>
      <c r="N70" s="1191"/>
      <c r="O70" s="1191"/>
      <c r="P70" s="1191"/>
      <c r="Q70" s="1191"/>
      <c r="R70" s="1191"/>
      <c r="S70" s="1191"/>
      <c r="T70" s="1191"/>
      <c r="U70" s="1191"/>
      <c r="V70" s="1191"/>
      <c r="W70" s="1191"/>
    </row>
    <row r="71" spans="1:43" ht="28.5" hidden="1" customHeight="1">
      <c r="E71" s="1190" t="s">
        <v>217</v>
      </c>
      <c r="F71" s="1190"/>
      <c r="G71" s="1191"/>
      <c r="H71" s="1191"/>
      <c r="I71" s="1191"/>
      <c r="J71" s="1191"/>
      <c r="K71" s="1191"/>
      <c r="L71" s="1191"/>
      <c r="M71" s="1191"/>
      <c r="N71" s="1191"/>
      <c r="O71" s="1191"/>
      <c r="P71" s="1191"/>
      <c r="Q71" s="1191"/>
      <c r="R71" s="1191"/>
      <c r="S71" s="1191"/>
      <c r="T71" s="1191"/>
      <c r="U71" s="1191"/>
      <c r="V71" s="1191"/>
      <c r="W71" s="1191"/>
    </row>
    <row r="72" spans="1:43" ht="27" hidden="1" customHeight="1">
      <c r="E72" s="1190" t="s">
        <v>218</v>
      </c>
      <c r="F72" s="1190"/>
      <c r="G72" s="1191"/>
      <c r="H72" s="1191"/>
      <c r="I72" s="1191"/>
      <c r="J72" s="1191"/>
      <c r="K72" s="1191"/>
      <c r="L72" s="1191"/>
      <c r="M72" s="1191"/>
      <c r="N72" s="1191"/>
      <c r="O72" s="1191"/>
      <c r="P72" s="1191"/>
      <c r="Q72" s="1191"/>
      <c r="R72" s="1191"/>
      <c r="S72" s="1191"/>
      <c r="T72" s="1191"/>
      <c r="U72" s="1191"/>
      <c r="V72" s="1191"/>
      <c r="W72" s="1191"/>
    </row>
    <row r="73" spans="1:43" ht="17.25" hidden="1" customHeight="1">
      <c r="E73" s="1190" t="s">
        <v>219</v>
      </c>
      <c r="F73" s="1190"/>
      <c r="G73" s="1191"/>
      <c r="H73" s="1191"/>
      <c r="I73" s="1191"/>
      <c r="J73" s="1191"/>
      <c r="K73" s="1191"/>
      <c r="L73" s="1191"/>
      <c r="M73" s="1191"/>
      <c r="N73" s="1191"/>
      <c r="O73" s="1191"/>
      <c r="P73" s="1191"/>
      <c r="Q73" s="1191"/>
      <c r="R73" s="1191"/>
      <c r="S73" s="1191"/>
      <c r="T73" s="1191"/>
      <c r="U73" s="1191"/>
      <c r="V73" s="1191"/>
      <c r="W73" s="1191"/>
    </row>
    <row r="74" spans="1:43" ht="15" hidden="1" customHeight="1">
      <c r="E74" s="198"/>
      <c r="F74" s="198"/>
      <c r="G74" s="71"/>
      <c r="H74" s="71"/>
      <c r="I74" s="71"/>
      <c r="J74" s="71"/>
      <c r="K74" s="71"/>
      <c r="L74" s="71"/>
      <c r="M74" s="71"/>
      <c r="N74" s="71"/>
      <c r="O74" s="71"/>
      <c r="P74" s="71"/>
      <c r="Q74" s="71"/>
      <c r="R74" s="71"/>
      <c r="S74" s="71"/>
      <c r="T74" s="71"/>
      <c r="U74" s="71"/>
      <c r="V74" s="71"/>
      <c r="W74" s="71"/>
    </row>
    <row r="75" spans="1:43" ht="15" hidden="1" customHeight="1">
      <c r="E75" s="1192" t="s">
        <v>220</v>
      </c>
      <c r="F75" s="1192"/>
      <c r="G75" s="1192"/>
      <c r="H75" s="1192"/>
      <c r="I75" s="1192"/>
      <c r="J75" s="1192"/>
      <c r="K75" s="1192"/>
      <c r="L75" s="1192"/>
      <c r="M75" s="1192"/>
      <c r="N75" s="1192"/>
      <c r="O75" s="1192"/>
      <c r="P75" s="1192"/>
      <c r="Q75" s="1192"/>
      <c r="R75" s="1192"/>
      <c r="S75" s="1192"/>
      <c r="T75" s="1192"/>
      <c r="U75" s="1192"/>
      <c r="V75" s="1192"/>
      <c r="W75" s="1192"/>
    </row>
    <row r="76" spans="1:43" ht="17.25" hidden="1" customHeight="1">
      <c r="E76" s="1190" t="s">
        <v>221</v>
      </c>
      <c r="F76" s="1190"/>
      <c r="G76" s="1191"/>
      <c r="H76" s="1191"/>
      <c r="I76" s="1191"/>
      <c r="J76" s="1191"/>
      <c r="K76" s="1191"/>
      <c r="L76" s="1191"/>
      <c r="M76" s="1191"/>
      <c r="N76" s="1191"/>
      <c r="O76" s="1191"/>
      <c r="P76" s="1191"/>
      <c r="Q76" s="1191"/>
      <c r="R76" s="1191"/>
      <c r="S76" s="1191"/>
      <c r="T76" s="1191"/>
      <c r="U76" s="1191"/>
      <c r="V76" s="1191"/>
      <c r="W76" s="1191"/>
    </row>
    <row r="77" spans="1:43" ht="17.25" hidden="1" customHeight="1">
      <c r="E77" s="1190" t="s">
        <v>222</v>
      </c>
      <c r="F77" s="1190"/>
      <c r="G77" s="1191"/>
      <c r="H77" s="1191"/>
      <c r="I77" s="1191"/>
      <c r="J77" s="1191"/>
      <c r="K77" s="1191"/>
      <c r="L77" s="1191"/>
      <c r="M77" s="1191"/>
      <c r="N77" s="1191"/>
      <c r="O77" s="1191"/>
      <c r="P77" s="1191"/>
      <c r="Q77" s="1191"/>
      <c r="R77" s="1191"/>
      <c r="S77" s="1191"/>
      <c r="T77" s="1191"/>
      <c r="U77" s="1191"/>
      <c r="V77" s="1191"/>
      <c r="W77" s="1191"/>
    </row>
    <row r="78" spans="1:43" s="36" customFormat="1" ht="11.25" hidden="1" customHeight="1">
      <c r="A78" s="69"/>
      <c r="B78" s="69"/>
      <c r="Y78" s="18"/>
      <c r="Z78" s="18"/>
      <c r="AA78" s="18"/>
      <c r="AB78" s="18"/>
      <c r="AC78" s="18"/>
      <c r="AD78" s="18"/>
      <c r="AE78" s="18"/>
      <c r="AF78" s="18"/>
      <c r="AG78" s="18"/>
      <c r="AH78" s="18"/>
      <c r="AI78" s="18"/>
      <c r="AJ78" s="18"/>
      <c r="AK78" s="18"/>
      <c r="AL78" s="18"/>
      <c r="AM78" s="18"/>
      <c r="AN78" s="18"/>
      <c r="AO78" s="18"/>
      <c r="AP78" s="18"/>
      <c r="AQ78" s="18"/>
    </row>
    <row r="79" spans="1:43" s="36" customFormat="1" ht="17.25" hidden="1" customHeight="1">
      <c r="A79" s="186"/>
      <c r="C79" s="76"/>
      <c r="D79" s="1154">
        <v>1</v>
      </c>
      <c r="E79" s="1161" t="s">
        <v>223</v>
      </c>
      <c r="F79" s="1163" t="s">
        <v>52</v>
      </c>
      <c r="G79" s="1161"/>
      <c r="H79" s="1166"/>
      <c r="I79" s="1168"/>
      <c r="J79" s="1170"/>
      <c r="K79" s="1155"/>
      <c r="L79" s="1155"/>
      <c r="M79" s="1155"/>
      <c r="N79" s="1157"/>
      <c r="O79" s="1155"/>
      <c r="P79" s="1155"/>
      <c r="Q79" s="1155"/>
      <c r="R79" s="1160"/>
      <c r="S79" s="1155"/>
      <c r="T79" s="794"/>
      <c r="U79" s="794"/>
      <c r="V79" s="793"/>
      <c r="W79" s="736"/>
      <c r="Y79" s="721"/>
      <c r="Z79" s="721"/>
      <c r="AA79" s="721"/>
      <c r="AB79" s="721"/>
      <c r="AC79" s="721" t="s">
        <v>224</v>
      </c>
      <c r="AD79" s="721" t="s">
        <v>225</v>
      </c>
      <c r="AE79" s="721" t="s">
        <v>226</v>
      </c>
      <c r="AF79" s="721" t="s">
        <v>227</v>
      </c>
      <c r="AG79" s="721"/>
      <c r="AH79" s="721" t="str">
        <f>IF($E$79=0,"",$E$79)</f>
        <v>Тариф на питьевую воду (питьевое водоснабжение)</v>
      </c>
      <c r="AI79" s="721" t="str">
        <f>IF($G$79=0,"",$G$79)</f>
        <v/>
      </c>
      <c r="AJ79" s="721" t="str">
        <f>IF($J$79=0,"",$J$79)</f>
        <v/>
      </c>
      <c r="AK79" s="721" t="str">
        <f>IF($K$79="нет","без дифференциации",IF($N$79=0,"",$N$79))</f>
        <v/>
      </c>
      <c r="AL79" s="721" t="str">
        <f>IF($O$79="нет","без дифференциации",IF($R$79=0,"",$R$79))</f>
        <v/>
      </c>
      <c r="AM79" s="721" t="str">
        <f>IF($S$79="нет","без дифференциации",IF($V$79=0,"",$V$79))</f>
        <v/>
      </c>
      <c r="AN79" s="721">
        <f>$I$79</f>
        <v>0</v>
      </c>
      <c r="AO79" s="721" t="str">
        <f>$I$79&amp;"."&amp;$M$79</f>
        <v>.</v>
      </c>
      <c r="AP79" s="721" t="str">
        <f>$I$79&amp;"."&amp;$M$79&amp;"."&amp;$Q$79</f>
        <v>..</v>
      </c>
      <c r="AQ79" s="721" t="str">
        <f>$I$79&amp;"."&amp;$M$79&amp;"."&amp;$Q$79&amp;"."&amp;$U$79</f>
        <v>...</v>
      </c>
    </row>
    <row r="80" spans="1:43" s="36" customFormat="1" ht="17.25" hidden="1" customHeight="1">
      <c r="A80" s="186"/>
      <c r="D80" s="1154"/>
      <c r="E80" s="1161"/>
      <c r="F80" s="1164"/>
      <c r="G80" s="1161"/>
      <c r="H80" s="1167"/>
      <c r="I80" s="1169"/>
      <c r="J80" s="1171"/>
      <c r="K80" s="1156"/>
      <c r="L80" s="1156"/>
      <c r="M80" s="1156"/>
      <c r="N80" s="1158"/>
      <c r="O80" s="1156"/>
      <c r="P80" s="1156"/>
      <c r="Q80" s="1156"/>
      <c r="R80" s="1159"/>
      <c r="S80" s="1156"/>
      <c r="T80" s="737"/>
      <c r="U80" s="737"/>
      <c r="V80" s="737"/>
      <c r="W80" s="738"/>
      <c r="Y80" s="18"/>
      <c r="Z80" s="18"/>
      <c r="AA80" s="18"/>
      <c r="AB80" s="18"/>
      <c r="AC80" s="18"/>
      <c r="AD80" s="18"/>
      <c r="AE80" s="18"/>
      <c r="AF80" s="18"/>
      <c r="AG80" s="18"/>
      <c r="AH80" s="18"/>
      <c r="AI80" s="18"/>
      <c r="AJ80" s="18"/>
      <c r="AK80" s="18"/>
      <c r="AL80" s="18"/>
      <c r="AM80" s="18"/>
      <c r="AN80" s="18"/>
      <c r="AO80" s="18"/>
      <c r="AP80" s="18"/>
      <c r="AQ80" s="18"/>
    </row>
    <row r="81" spans="1:43" s="36" customFormat="1" ht="17.25" hidden="1" customHeight="1">
      <c r="A81" s="186"/>
      <c r="C81" s="76"/>
      <c r="D81" s="1154"/>
      <c r="E81" s="1161"/>
      <c r="F81" s="1164"/>
      <c r="G81" s="1161"/>
      <c r="H81" s="1167"/>
      <c r="I81" s="1169"/>
      <c r="J81" s="1172"/>
      <c r="K81" s="1156"/>
      <c r="L81" s="1156"/>
      <c r="M81" s="1156"/>
      <c r="N81" s="1159"/>
      <c r="O81" s="1156"/>
      <c r="P81" s="56"/>
      <c r="Q81" s="737"/>
      <c r="R81" s="737"/>
      <c r="W81" s="738"/>
      <c r="Y81" s="721"/>
      <c r="Z81" s="721"/>
      <c r="AA81" s="721"/>
      <c r="AB81" s="721"/>
      <c r="AC81" s="721"/>
      <c r="AD81" s="721"/>
      <c r="AE81" s="721"/>
      <c r="AF81" s="721"/>
      <c r="AG81" s="721"/>
      <c r="AH81" s="721"/>
      <c r="AI81" s="721"/>
      <c r="AJ81" s="721"/>
      <c r="AK81" s="721"/>
      <c r="AL81" s="721"/>
      <c r="AM81" s="721"/>
      <c r="AN81" s="721"/>
      <c r="AO81" s="721"/>
      <c r="AP81" s="721"/>
      <c r="AQ81" s="721"/>
    </row>
    <row r="82" spans="1:43" s="36" customFormat="1" ht="17.25" hidden="1" customHeight="1">
      <c r="A82" s="186"/>
      <c r="D82" s="1154"/>
      <c r="E82" s="1161"/>
      <c r="F82" s="1164"/>
      <c r="G82" s="1161"/>
      <c r="H82" s="1167"/>
      <c r="I82" s="1169"/>
      <c r="J82" s="1172"/>
      <c r="K82" s="1156"/>
      <c r="L82" s="737"/>
      <c r="M82" s="737"/>
      <c r="N82" s="737"/>
      <c r="O82" s="737"/>
      <c r="P82" s="737"/>
      <c r="Q82" s="737"/>
      <c r="R82" s="737"/>
      <c r="W82" s="738"/>
      <c r="Y82" s="18"/>
      <c r="Z82" s="18"/>
      <c r="AA82" s="18"/>
      <c r="AB82" s="18"/>
      <c r="AC82" s="18"/>
      <c r="AD82" s="18"/>
      <c r="AE82" s="18"/>
      <c r="AF82" s="18"/>
      <c r="AG82" s="18"/>
      <c r="AH82" s="18"/>
      <c r="AI82" s="18"/>
      <c r="AJ82" s="18"/>
      <c r="AK82" s="18"/>
      <c r="AL82" s="18"/>
      <c r="AM82" s="18"/>
      <c r="AN82" s="18"/>
      <c r="AO82" s="18"/>
      <c r="AP82" s="18"/>
      <c r="AQ82" s="18"/>
    </row>
    <row r="83" spans="1:43" s="36" customFormat="1" ht="17.25" hidden="1" customHeight="1">
      <c r="A83" s="186"/>
      <c r="D83" s="1125"/>
      <c r="E83" s="1162"/>
      <c r="F83" s="1165"/>
      <c r="G83" s="1162"/>
      <c r="H83" s="739"/>
      <c r="I83" s="740"/>
      <c r="J83" s="740"/>
      <c r="K83" s="740"/>
      <c r="L83" s="740"/>
      <c r="M83" s="740"/>
      <c r="N83" s="740"/>
      <c r="O83" s="740"/>
      <c r="P83" s="740"/>
      <c r="Q83" s="740"/>
      <c r="R83" s="740"/>
      <c r="S83" s="741"/>
      <c r="T83" s="741"/>
      <c r="U83" s="741"/>
      <c r="V83" s="741"/>
      <c r="W83" s="742"/>
      <c r="Y83" s="18"/>
      <c r="Z83" s="18"/>
      <c r="AA83" s="18"/>
      <c r="AB83" s="18"/>
      <c r="AC83" s="18"/>
      <c r="AD83" s="18"/>
      <c r="AE83" s="18"/>
      <c r="AF83" s="18"/>
      <c r="AG83" s="18"/>
      <c r="AH83" s="18"/>
      <c r="AI83" s="18"/>
      <c r="AJ83" s="18"/>
      <c r="AK83" s="18"/>
      <c r="AL83" s="18"/>
      <c r="AM83" s="18"/>
      <c r="AN83" s="18"/>
      <c r="AO83" s="18"/>
      <c r="AP83" s="18"/>
      <c r="AQ83" s="18"/>
    </row>
    <row r="84" spans="1:43" s="36" customFormat="1" ht="17.25" hidden="1" customHeight="1">
      <c r="A84" s="186"/>
      <c r="C84" s="76"/>
      <c r="D84" s="1154">
        <v>2</v>
      </c>
      <c r="E84" s="1161" t="s">
        <v>228</v>
      </c>
      <c r="F84" s="1163" t="s">
        <v>52</v>
      </c>
      <c r="G84" s="1161"/>
      <c r="H84" s="1166"/>
      <c r="I84" s="1168"/>
      <c r="J84" s="1170"/>
      <c r="K84" s="1155"/>
      <c r="L84" s="1155"/>
      <c r="M84" s="1155"/>
      <c r="N84" s="1157"/>
      <c r="O84" s="1155"/>
      <c r="P84" s="1155"/>
      <c r="Q84" s="1155"/>
      <c r="R84" s="1160"/>
      <c r="S84" s="1155"/>
      <c r="T84" s="794"/>
      <c r="U84" s="794"/>
      <c r="V84" s="793"/>
      <c r="W84" s="736"/>
      <c r="X84" s="721"/>
      <c r="Y84" s="721"/>
      <c r="Z84" s="721"/>
      <c r="AA84" s="721"/>
      <c r="AB84" s="721"/>
      <c r="AC84" s="721" t="s">
        <v>229</v>
      </c>
      <c r="AD84" s="721" t="s">
        <v>230</v>
      </c>
      <c r="AE84" s="721" t="s">
        <v>231</v>
      </c>
      <c r="AF84" s="721" t="s">
        <v>232</v>
      </c>
      <c r="AG84" s="721"/>
      <c r="AH84" s="721" t="str">
        <f>IF($E$84=0,"",$E$84)</f>
        <v>Тариф на техническую воду</v>
      </c>
      <c r="AI84" s="721" t="str">
        <f>IF($G$84=0,"",$G$84)</f>
        <v/>
      </c>
      <c r="AJ84" s="721" t="str">
        <f>IF($J$84=0,"",$J$84)</f>
        <v/>
      </c>
      <c r="AK84" s="721" t="str">
        <f>IF($K$84="нет","без дифференциации",IF($N$84=0,"",$N$84))</f>
        <v/>
      </c>
      <c r="AL84" s="721" t="str">
        <f>IF($O$84="нет","без дифференциации",IF($R$84=0,"",$R$84))</f>
        <v/>
      </c>
      <c r="AM84" s="721" t="str">
        <f>IF($S$84="нет","без дифференциации",IF($V$84=0,"",$V$84))</f>
        <v/>
      </c>
      <c r="AN84" s="963">
        <f>$I$84</f>
        <v>0</v>
      </c>
      <c r="AO84" s="721" t="str">
        <f>$I$84&amp;"."&amp;$M$84</f>
        <v>.</v>
      </c>
      <c r="AP84" s="18" t="str">
        <f>$I$84&amp;"."&amp;$M$84&amp;"."&amp;$Q$84</f>
        <v>..</v>
      </c>
      <c r="AQ84" s="18" t="str">
        <f>$I$84&amp;"."&amp;$M$84&amp;"."&amp;$Q$84&amp;"."&amp;$U$84</f>
        <v>...</v>
      </c>
    </row>
    <row r="85" spans="1:43" s="36" customFormat="1" ht="17.25" hidden="1" customHeight="1">
      <c r="A85" s="186"/>
      <c r="D85" s="1154"/>
      <c r="E85" s="1161"/>
      <c r="F85" s="1164"/>
      <c r="G85" s="1161"/>
      <c r="H85" s="1167"/>
      <c r="I85" s="1169"/>
      <c r="J85" s="1171"/>
      <c r="K85" s="1156"/>
      <c r="L85" s="1156"/>
      <c r="M85" s="1156"/>
      <c r="N85" s="1158"/>
      <c r="O85" s="1156"/>
      <c r="P85" s="1156"/>
      <c r="Q85" s="1156"/>
      <c r="R85" s="1159"/>
      <c r="S85" s="1156"/>
      <c r="T85" s="737"/>
      <c r="U85" s="737"/>
      <c r="V85" s="737"/>
      <c r="W85" s="738"/>
      <c r="X85" s="18"/>
      <c r="Y85" s="18"/>
      <c r="Z85" s="18"/>
      <c r="AA85" s="18"/>
      <c r="AB85" s="18"/>
      <c r="AC85" s="18"/>
      <c r="AD85" s="18"/>
      <c r="AE85" s="18"/>
      <c r="AF85" s="18"/>
      <c r="AG85" s="18"/>
      <c r="AH85" s="18"/>
      <c r="AI85" s="18"/>
      <c r="AJ85" s="18"/>
      <c r="AK85" s="18"/>
      <c r="AL85" s="18"/>
      <c r="AM85" s="18"/>
      <c r="AN85" s="18"/>
      <c r="AO85" s="18"/>
      <c r="AP85" s="18"/>
      <c r="AQ85" s="18"/>
    </row>
    <row r="86" spans="1:43" s="36" customFormat="1" ht="17.25" hidden="1" customHeight="1">
      <c r="A86" s="186"/>
      <c r="D86" s="1125"/>
      <c r="E86" s="1162"/>
      <c r="F86" s="1164"/>
      <c r="G86" s="1162"/>
      <c r="H86" s="1167"/>
      <c r="I86" s="1169"/>
      <c r="J86" s="1172"/>
      <c r="K86" s="1156"/>
      <c r="L86" s="1156"/>
      <c r="M86" s="1156"/>
      <c r="N86" s="1159"/>
      <c r="O86" s="1156"/>
      <c r="P86" s="56"/>
      <c r="Q86" s="737"/>
      <c r="R86" s="737"/>
      <c r="W86" s="738"/>
      <c r="X86" s="18"/>
      <c r="Y86" s="18"/>
      <c r="Z86" s="18"/>
      <c r="AA86" s="18"/>
      <c r="AB86" s="18"/>
      <c r="AC86" s="18"/>
      <c r="AD86" s="18"/>
      <c r="AE86" s="18"/>
      <c r="AF86" s="18"/>
      <c r="AG86" s="18"/>
      <c r="AH86" s="18"/>
      <c r="AI86" s="18"/>
      <c r="AJ86" s="18"/>
      <c r="AK86" s="18"/>
      <c r="AL86" s="18"/>
      <c r="AM86" s="18"/>
      <c r="AN86" s="18"/>
      <c r="AO86" s="18"/>
      <c r="AP86" s="18"/>
      <c r="AQ86" s="18"/>
    </row>
    <row r="87" spans="1:43" s="36" customFormat="1" ht="17.25" hidden="1" customHeight="1">
      <c r="A87" s="186"/>
      <c r="D87" s="1125"/>
      <c r="E87" s="1162"/>
      <c r="F87" s="1164"/>
      <c r="G87" s="1162"/>
      <c r="H87" s="1167"/>
      <c r="I87" s="1169"/>
      <c r="J87" s="1172"/>
      <c r="K87" s="1156"/>
      <c r="L87" s="737"/>
      <c r="M87" s="737"/>
      <c r="N87" s="737"/>
      <c r="O87" s="737"/>
      <c r="P87" s="737"/>
      <c r="Q87" s="737"/>
      <c r="R87" s="737"/>
      <c r="W87" s="738"/>
      <c r="X87" s="18"/>
      <c r="Y87" s="18"/>
      <c r="Z87" s="18"/>
      <c r="AA87" s="18"/>
      <c r="AB87" s="18"/>
      <c r="AC87" s="18"/>
      <c r="AD87" s="18"/>
      <c r="AE87" s="18"/>
      <c r="AF87" s="18"/>
      <c r="AG87" s="18"/>
      <c r="AH87" s="18"/>
      <c r="AI87" s="18"/>
      <c r="AJ87" s="18"/>
      <c r="AK87" s="18"/>
      <c r="AL87" s="18"/>
      <c r="AM87" s="18"/>
      <c r="AN87" s="18"/>
      <c r="AO87" s="18"/>
      <c r="AP87" s="18"/>
      <c r="AQ87" s="18"/>
    </row>
    <row r="88" spans="1:43" s="36" customFormat="1" ht="17.25" hidden="1" customHeight="1">
      <c r="A88" s="186"/>
      <c r="D88" s="1125"/>
      <c r="E88" s="1162"/>
      <c r="F88" s="1165"/>
      <c r="G88" s="1162"/>
      <c r="H88" s="739"/>
      <c r="I88" s="740"/>
      <c r="J88" s="740"/>
      <c r="K88" s="740"/>
      <c r="L88" s="740"/>
      <c r="M88" s="740"/>
      <c r="N88" s="740"/>
      <c r="O88" s="740"/>
      <c r="P88" s="740"/>
      <c r="Q88" s="740"/>
      <c r="R88" s="740"/>
      <c r="S88" s="741"/>
      <c r="T88" s="741"/>
      <c r="U88" s="741"/>
      <c r="V88" s="741"/>
      <c r="W88" s="742"/>
      <c r="X88" s="18"/>
      <c r="Y88" s="18"/>
      <c r="Z88" s="18"/>
      <c r="AA88" s="18"/>
      <c r="AB88" s="18"/>
      <c r="AC88" s="18"/>
      <c r="AD88" s="18"/>
      <c r="AE88" s="18"/>
      <c r="AF88" s="18"/>
      <c r="AG88" s="18"/>
      <c r="AH88" s="18"/>
      <c r="AI88" s="18"/>
      <c r="AJ88" s="18"/>
      <c r="AK88" s="18"/>
      <c r="AL88" s="18"/>
      <c r="AM88" s="18"/>
      <c r="AN88" s="18"/>
      <c r="AO88" s="18"/>
      <c r="AP88" s="18"/>
      <c r="AQ88" s="18"/>
    </row>
    <row r="89" spans="1:43" s="36" customFormat="1" ht="17.25" hidden="1" customHeight="1">
      <c r="A89" s="186"/>
      <c r="C89" s="76"/>
      <c r="D89" s="1154">
        <v>3</v>
      </c>
      <c r="E89" s="1161" t="s">
        <v>233</v>
      </c>
      <c r="F89" s="1163" t="s">
        <v>52</v>
      </c>
      <c r="G89" s="1161"/>
      <c r="H89" s="1166"/>
      <c r="I89" s="1168"/>
      <c r="J89" s="1170"/>
      <c r="K89" s="1155"/>
      <c r="L89" s="1155"/>
      <c r="M89" s="1155"/>
      <c r="N89" s="1157"/>
      <c r="O89" s="1155"/>
      <c r="P89" s="1155"/>
      <c r="Q89" s="1155"/>
      <c r="R89" s="1160"/>
      <c r="S89" s="1155"/>
      <c r="T89" s="794"/>
      <c r="U89" s="794"/>
      <c r="V89" s="793"/>
      <c r="W89" s="736"/>
      <c r="X89" s="721"/>
      <c r="Y89" s="721"/>
      <c r="Z89" s="721"/>
      <c r="AA89" s="721"/>
      <c r="AB89" s="721"/>
      <c r="AC89" s="721" t="s">
        <v>234</v>
      </c>
      <c r="AD89" s="721" t="s">
        <v>235</v>
      </c>
      <c r="AE89" s="721" t="s">
        <v>236</v>
      </c>
      <c r="AF89" s="721" t="s">
        <v>237</v>
      </c>
      <c r="AG89" s="721"/>
      <c r="AH89" s="721" t="str">
        <f>IF($E$89=0,"",$E$89)</f>
        <v>Тариф на транспортировку воды</v>
      </c>
      <c r="AI89" s="721" t="str">
        <f>IF($G$89=0,"",$G$89)</f>
        <v/>
      </c>
      <c r="AJ89" s="721" t="str">
        <f>IF($J$89=0,"",$J$89)</f>
        <v/>
      </c>
      <c r="AK89" s="721" t="str">
        <f>IF($K$89="нет","без дифференциации",IF($N$89=0,"",$N$89))</f>
        <v/>
      </c>
      <c r="AL89" s="721" t="str">
        <f>IF($O$89="нет","без дифференциации",IF($R$89=0,"",$R$89))</f>
        <v/>
      </c>
      <c r="AM89" s="721" t="str">
        <f>IF($S$89="нет","без дифференциации",IF($V$89=0,"",$V$89))</f>
        <v/>
      </c>
      <c r="AN89" s="963">
        <f>$I$89</f>
        <v>0</v>
      </c>
      <c r="AO89" s="721" t="str">
        <f>$I$89&amp;"."&amp;$M$89</f>
        <v>.</v>
      </c>
      <c r="AP89" s="18" t="str">
        <f>$I$89&amp;"."&amp;$M$89&amp;"."&amp;$Q$89</f>
        <v>..</v>
      </c>
      <c r="AQ89" s="18" t="str">
        <f>$I$89&amp;"."&amp;$M$89&amp;"."&amp;$Q$89&amp;"."&amp;$U$89</f>
        <v>...</v>
      </c>
    </row>
    <row r="90" spans="1:43" s="36" customFormat="1" ht="17.25" hidden="1" customHeight="1">
      <c r="A90" s="186"/>
      <c r="D90" s="1154"/>
      <c r="E90" s="1161"/>
      <c r="F90" s="1164"/>
      <c r="G90" s="1161"/>
      <c r="H90" s="1167"/>
      <c r="I90" s="1169"/>
      <c r="J90" s="1171"/>
      <c r="K90" s="1156"/>
      <c r="L90" s="1156"/>
      <c r="M90" s="1156"/>
      <c r="N90" s="1158"/>
      <c r="O90" s="1156"/>
      <c r="P90" s="1156"/>
      <c r="Q90" s="1156"/>
      <c r="R90" s="1159"/>
      <c r="S90" s="1156"/>
      <c r="T90" s="737"/>
      <c r="U90" s="737"/>
      <c r="V90" s="737"/>
      <c r="W90" s="738"/>
      <c r="X90" s="18"/>
      <c r="Y90" s="18"/>
      <c r="Z90" s="18"/>
      <c r="AA90" s="18"/>
      <c r="AB90" s="18"/>
      <c r="AC90" s="18"/>
      <c r="AD90" s="18"/>
      <c r="AE90" s="18"/>
      <c r="AF90" s="18"/>
      <c r="AG90" s="18"/>
      <c r="AH90" s="18"/>
      <c r="AI90" s="18"/>
      <c r="AJ90" s="18"/>
      <c r="AK90" s="18"/>
      <c r="AL90" s="18"/>
      <c r="AM90" s="18"/>
      <c r="AN90" s="18"/>
      <c r="AO90" s="18"/>
      <c r="AP90" s="18"/>
      <c r="AQ90" s="18"/>
    </row>
    <row r="91" spans="1:43" s="36" customFormat="1" ht="17.25" hidden="1" customHeight="1">
      <c r="A91" s="186"/>
      <c r="D91" s="1125"/>
      <c r="E91" s="1162"/>
      <c r="F91" s="1164"/>
      <c r="G91" s="1162"/>
      <c r="H91" s="1167"/>
      <c r="I91" s="1169"/>
      <c r="J91" s="1172"/>
      <c r="K91" s="1156"/>
      <c r="L91" s="1156"/>
      <c r="M91" s="1156"/>
      <c r="N91" s="1159"/>
      <c r="O91" s="1156"/>
      <c r="P91" s="56"/>
      <c r="Q91" s="737"/>
      <c r="R91" s="737"/>
      <c r="W91" s="738"/>
      <c r="X91" s="18"/>
      <c r="Y91" s="18"/>
      <c r="Z91" s="18"/>
      <c r="AA91" s="18"/>
      <c r="AB91" s="18"/>
      <c r="AC91" s="18"/>
      <c r="AD91" s="18"/>
      <c r="AE91" s="18"/>
      <c r="AF91" s="18"/>
      <c r="AG91" s="18"/>
      <c r="AH91" s="18"/>
      <c r="AI91" s="18"/>
      <c r="AJ91" s="18"/>
      <c r="AK91" s="18"/>
      <c r="AL91" s="18"/>
      <c r="AM91" s="18"/>
      <c r="AN91" s="18"/>
      <c r="AO91" s="18"/>
      <c r="AP91" s="18"/>
      <c r="AQ91" s="18"/>
    </row>
    <row r="92" spans="1:43" s="36" customFormat="1" ht="17.25" hidden="1" customHeight="1">
      <c r="A92" s="186"/>
      <c r="D92" s="1125"/>
      <c r="E92" s="1162"/>
      <c r="F92" s="1164"/>
      <c r="G92" s="1162"/>
      <c r="H92" s="1167"/>
      <c r="I92" s="1169"/>
      <c r="J92" s="1172"/>
      <c r="K92" s="1156"/>
      <c r="L92" s="737"/>
      <c r="M92" s="737"/>
      <c r="N92" s="737"/>
      <c r="O92" s="737"/>
      <c r="P92" s="737"/>
      <c r="Q92" s="737"/>
      <c r="R92" s="737"/>
      <c r="W92" s="738"/>
      <c r="X92" s="18"/>
      <c r="Y92" s="18"/>
      <c r="Z92" s="18"/>
      <c r="AA92" s="18"/>
      <c r="AB92" s="18"/>
      <c r="AC92" s="18"/>
      <c r="AD92" s="18"/>
      <c r="AE92" s="18"/>
      <c r="AF92" s="18"/>
      <c r="AG92" s="18"/>
      <c r="AH92" s="18"/>
      <c r="AI92" s="18"/>
      <c r="AJ92" s="18"/>
      <c r="AK92" s="18"/>
      <c r="AL92" s="18"/>
      <c r="AM92" s="18"/>
      <c r="AN92" s="18"/>
      <c r="AO92" s="18"/>
      <c r="AP92" s="18"/>
      <c r="AQ92" s="18"/>
    </row>
    <row r="93" spans="1:43" s="36" customFormat="1" ht="17.25" hidden="1" customHeight="1">
      <c r="A93" s="186"/>
      <c r="D93" s="1125"/>
      <c r="E93" s="1162"/>
      <c r="F93" s="1165"/>
      <c r="G93" s="1162"/>
      <c r="H93" s="739"/>
      <c r="I93" s="740"/>
      <c r="J93" s="740"/>
      <c r="K93" s="740"/>
      <c r="L93" s="740"/>
      <c r="M93" s="740"/>
      <c r="N93" s="740"/>
      <c r="O93" s="740"/>
      <c r="P93" s="740"/>
      <c r="Q93" s="740"/>
      <c r="R93" s="740"/>
      <c r="S93" s="741"/>
      <c r="T93" s="741"/>
      <c r="U93" s="741"/>
      <c r="V93" s="741"/>
      <c r="W93" s="742"/>
      <c r="X93" s="18"/>
      <c r="Y93" s="18"/>
      <c r="Z93" s="18"/>
      <c r="AA93" s="18"/>
      <c r="AB93" s="18"/>
      <c r="AC93" s="18"/>
      <c r="AD93" s="18"/>
      <c r="AE93" s="18"/>
      <c r="AF93" s="18"/>
      <c r="AG93" s="18"/>
      <c r="AH93" s="18"/>
      <c r="AI93" s="18"/>
      <c r="AJ93" s="18"/>
      <c r="AK93" s="18"/>
      <c r="AL93" s="18"/>
      <c r="AM93" s="18"/>
      <c r="AN93" s="18"/>
      <c r="AO93" s="18"/>
      <c r="AP93" s="18"/>
      <c r="AQ93" s="18"/>
    </row>
    <row r="94" spans="1:43" s="36" customFormat="1" ht="17.25" hidden="1" customHeight="1">
      <c r="A94" s="186"/>
      <c r="C94" s="76"/>
      <c r="D94" s="1154">
        <v>4</v>
      </c>
      <c r="E94" s="1161" t="s">
        <v>238</v>
      </c>
      <c r="F94" s="1163" t="s">
        <v>52</v>
      </c>
      <c r="G94" s="1161"/>
      <c r="H94" s="1166"/>
      <c r="I94" s="1168"/>
      <c r="J94" s="1170"/>
      <c r="K94" s="1155"/>
      <c r="L94" s="1155"/>
      <c r="M94" s="1155"/>
      <c r="N94" s="1157"/>
      <c r="O94" s="1155"/>
      <c r="P94" s="1155"/>
      <c r="Q94" s="1155"/>
      <c r="R94" s="1160"/>
      <c r="S94" s="1155"/>
      <c r="T94" s="794"/>
      <c r="U94" s="794"/>
      <c r="V94" s="793"/>
      <c r="W94" s="736"/>
      <c r="X94" s="721"/>
      <c r="Y94" s="721"/>
      <c r="Z94" s="721"/>
      <c r="AA94" s="721"/>
      <c r="AB94" s="721"/>
      <c r="AC94" s="721" t="s">
        <v>239</v>
      </c>
      <c r="AD94" s="721" t="s">
        <v>240</v>
      </c>
      <c r="AE94" s="721" t="s">
        <v>241</v>
      </c>
      <c r="AF94" s="721" t="s">
        <v>242</v>
      </c>
      <c r="AG94" s="721"/>
      <c r="AH94" s="721" t="str">
        <f>IF($E$94=0,"",$E$94)</f>
        <v>Тариф на подвоз воды</v>
      </c>
      <c r="AI94" s="721" t="str">
        <f>IF($G$94=0,"",$G$94)</f>
        <v/>
      </c>
      <c r="AJ94" s="721" t="str">
        <f>IF($J$94=0,"",$J$94)</f>
        <v/>
      </c>
      <c r="AK94" s="721" t="str">
        <f>IF($K$94="нет","без дифференциации",IF($N$94=0,"",$N$94))</f>
        <v/>
      </c>
      <c r="AL94" s="721" t="str">
        <f>IF($O$94="нет","без дифференциации",IF($R$94=0,"",$R$94))</f>
        <v/>
      </c>
      <c r="AM94" s="721" t="str">
        <f>IF($S$94="нет","без дифференциации",IF($V$94=0,"",$V$94))</f>
        <v/>
      </c>
      <c r="AN94" s="963">
        <f>$I$94</f>
        <v>0</v>
      </c>
      <c r="AO94" s="721" t="str">
        <f>$I$94&amp;"."&amp;$M$94</f>
        <v>.</v>
      </c>
      <c r="AP94" s="18" t="str">
        <f>$I$94&amp;"."&amp;$M$94&amp;"."&amp;$Q$94</f>
        <v>..</v>
      </c>
      <c r="AQ94" s="18" t="str">
        <f>$I$94&amp;"."&amp;$M$94&amp;"."&amp;$Q$94&amp;"."&amp;$U$94</f>
        <v>...</v>
      </c>
    </row>
    <row r="95" spans="1:43" s="36" customFormat="1" ht="17.25" hidden="1" customHeight="1">
      <c r="A95" s="186"/>
      <c r="D95" s="1154"/>
      <c r="E95" s="1161"/>
      <c r="F95" s="1164"/>
      <c r="G95" s="1161"/>
      <c r="H95" s="1167"/>
      <c r="I95" s="1169"/>
      <c r="J95" s="1171"/>
      <c r="K95" s="1156"/>
      <c r="L95" s="1156"/>
      <c r="M95" s="1156"/>
      <c r="N95" s="1158"/>
      <c r="O95" s="1156"/>
      <c r="P95" s="1156"/>
      <c r="Q95" s="1156"/>
      <c r="R95" s="1159"/>
      <c r="S95" s="1156"/>
      <c r="T95" s="737"/>
      <c r="U95" s="737"/>
      <c r="V95" s="737"/>
      <c r="W95" s="738"/>
      <c r="X95" s="18"/>
      <c r="Y95" s="18"/>
      <c r="Z95" s="18"/>
      <c r="AA95" s="18"/>
      <c r="AB95" s="18"/>
      <c r="AC95" s="18"/>
      <c r="AD95" s="18"/>
      <c r="AE95" s="18"/>
      <c r="AF95" s="18"/>
      <c r="AG95" s="18"/>
      <c r="AH95" s="18"/>
      <c r="AI95" s="18"/>
      <c r="AJ95" s="18"/>
      <c r="AK95" s="18"/>
      <c r="AL95" s="18"/>
      <c r="AM95" s="18"/>
      <c r="AN95" s="18"/>
      <c r="AO95" s="18"/>
      <c r="AP95" s="18"/>
      <c r="AQ95" s="18"/>
    </row>
    <row r="96" spans="1:43" s="36" customFormat="1" ht="17.25" hidden="1" customHeight="1">
      <c r="A96" s="186"/>
      <c r="D96" s="1125"/>
      <c r="E96" s="1162"/>
      <c r="F96" s="1164"/>
      <c r="G96" s="1162"/>
      <c r="H96" s="1167"/>
      <c r="I96" s="1169"/>
      <c r="J96" s="1172"/>
      <c r="K96" s="1156"/>
      <c r="L96" s="1156"/>
      <c r="M96" s="1156"/>
      <c r="N96" s="1159"/>
      <c r="O96" s="1156"/>
      <c r="P96" s="56"/>
      <c r="Q96" s="737"/>
      <c r="R96" s="737"/>
      <c r="W96" s="738"/>
      <c r="X96" s="18"/>
      <c r="Y96" s="18"/>
      <c r="Z96" s="18"/>
      <c r="AA96" s="18"/>
      <c r="AB96" s="18"/>
      <c r="AC96" s="18"/>
      <c r="AD96" s="18"/>
      <c r="AE96" s="18"/>
      <c r="AF96" s="18"/>
      <c r="AG96" s="18"/>
      <c r="AH96" s="18"/>
      <c r="AI96" s="18"/>
      <c r="AJ96" s="18"/>
      <c r="AK96" s="18"/>
      <c r="AL96" s="18"/>
      <c r="AM96" s="18"/>
      <c r="AN96" s="18"/>
      <c r="AO96" s="18"/>
      <c r="AP96" s="18"/>
      <c r="AQ96" s="18"/>
    </row>
    <row r="97" spans="1:43" s="36" customFormat="1" ht="17.25" hidden="1" customHeight="1">
      <c r="A97" s="186"/>
      <c r="D97" s="1125"/>
      <c r="E97" s="1162"/>
      <c r="F97" s="1164"/>
      <c r="G97" s="1162"/>
      <c r="H97" s="1167"/>
      <c r="I97" s="1169"/>
      <c r="J97" s="1172"/>
      <c r="K97" s="1156"/>
      <c r="L97" s="737"/>
      <c r="M97" s="737"/>
      <c r="N97" s="737"/>
      <c r="O97" s="737"/>
      <c r="P97" s="737"/>
      <c r="Q97" s="737"/>
      <c r="R97" s="737"/>
      <c r="W97" s="738"/>
      <c r="X97" s="18"/>
      <c r="Y97" s="18"/>
      <c r="Z97" s="18"/>
      <c r="AA97" s="18"/>
      <c r="AB97" s="18"/>
      <c r="AC97" s="18"/>
      <c r="AD97" s="18"/>
      <c r="AE97" s="18"/>
      <c r="AF97" s="18"/>
      <c r="AG97" s="18"/>
      <c r="AH97" s="18"/>
      <c r="AI97" s="18"/>
      <c r="AJ97" s="18"/>
      <c r="AK97" s="18"/>
      <c r="AL97" s="18"/>
      <c r="AM97" s="18"/>
      <c r="AN97" s="18"/>
      <c r="AO97" s="18"/>
      <c r="AP97" s="18"/>
      <c r="AQ97" s="18"/>
    </row>
    <row r="98" spans="1:43" s="36" customFormat="1" ht="17.25" hidden="1" customHeight="1">
      <c r="A98" s="186"/>
      <c r="D98" s="1125"/>
      <c r="E98" s="1162"/>
      <c r="F98" s="1165"/>
      <c r="G98" s="1162"/>
      <c r="H98" s="739"/>
      <c r="I98" s="740"/>
      <c r="J98" s="740"/>
      <c r="K98" s="740"/>
      <c r="L98" s="740"/>
      <c r="M98" s="740"/>
      <c r="N98" s="740"/>
      <c r="O98" s="740"/>
      <c r="P98" s="740"/>
      <c r="Q98" s="740"/>
      <c r="R98" s="740"/>
      <c r="S98" s="741"/>
      <c r="T98" s="741"/>
      <c r="U98" s="741"/>
      <c r="V98" s="741"/>
      <c r="W98" s="742"/>
      <c r="X98" s="18"/>
      <c r="Y98" s="18"/>
      <c r="Z98" s="18"/>
      <c r="AA98" s="18"/>
      <c r="AB98" s="18"/>
      <c r="AC98" s="18"/>
      <c r="AD98" s="18"/>
      <c r="AE98" s="18"/>
      <c r="AF98" s="18"/>
      <c r="AG98" s="18"/>
      <c r="AH98" s="18"/>
      <c r="AI98" s="18"/>
      <c r="AJ98" s="18"/>
      <c r="AK98" s="18"/>
      <c r="AL98" s="18"/>
      <c r="AM98" s="18"/>
      <c r="AN98" s="18"/>
      <c r="AO98" s="18"/>
      <c r="AP98" s="18"/>
      <c r="AQ98" s="18"/>
    </row>
    <row r="99" spans="1:43" s="36" customFormat="1" ht="17.25" hidden="1" customHeight="1">
      <c r="A99" s="186"/>
      <c r="C99" s="76"/>
      <c r="D99" s="1154">
        <v>5</v>
      </c>
      <c r="E99" s="1161" t="s">
        <v>243</v>
      </c>
      <c r="F99" s="1163" t="s">
        <v>52</v>
      </c>
      <c r="G99" s="1161"/>
      <c r="H99" s="1166"/>
      <c r="I99" s="1168"/>
      <c r="J99" s="1170"/>
      <c r="K99" s="1155"/>
      <c r="L99" s="1155"/>
      <c r="M99" s="1155"/>
      <c r="N99" s="1157"/>
      <c r="O99" s="1155"/>
      <c r="P99" s="1155"/>
      <c r="Q99" s="1155"/>
      <c r="R99" s="1160"/>
      <c r="S99" s="1155"/>
      <c r="T99" s="794"/>
      <c r="U99" s="794"/>
      <c r="V99" s="793"/>
      <c r="W99" s="736"/>
      <c r="X99" s="721"/>
      <c r="Y99" s="721"/>
      <c r="Z99" s="721"/>
      <c r="AA99" s="721"/>
      <c r="AB99" s="721"/>
      <c r="AC99" s="721" t="s">
        <v>244</v>
      </c>
      <c r="AD99" s="721" t="s">
        <v>245</v>
      </c>
      <c r="AE99" s="721" t="s">
        <v>246</v>
      </c>
      <c r="AF99" s="721" t="s">
        <v>247</v>
      </c>
      <c r="AG99" s="721"/>
      <c r="AH99" s="721" t="str">
        <f>IF($E$99=0,"",$E$99)</f>
        <v>Тариф на подключение (технологическое присоединение) к централизованной системе холодного водоснабжения</v>
      </c>
      <c r="AI99" s="721" t="str">
        <f>IF($G$99=0,"",$G$99)</f>
        <v/>
      </c>
      <c r="AJ99" s="721" t="str">
        <f>IF($J$99=0,"",$J$99)</f>
        <v/>
      </c>
      <c r="AK99" s="721" t="str">
        <f>IF($K$99="нет","без дифференциации",IF($N$99=0,"",$N$99))</f>
        <v/>
      </c>
      <c r="AL99" s="721" t="str">
        <f>IF($O$99="нет","без дифференциации",IF($R$99=0,"",$R$99))</f>
        <v/>
      </c>
      <c r="AM99" s="721" t="str">
        <f>IF($S$99="нет","без дифференциации",IF($V$99=0,"",$V$99))</f>
        <v/>
      </c>
      <c r="AN99" s="963">
        <f>$I$99</f>
        <v>0</v>
      </c>
      <c r="AO99" s="721" t="str">
        <f>$I$99&amp;"."&amp;$M$99</f>
        <v>.</v>
      </c>
      <c r="AP99" s="18" t="str">
        <f>$I$99&amp;"."&amp;$M$99&amp;"."&amp;$Q$99</f>
        <v>..</v>
      </c>
      <c r="AQ99" s="18" t="str">
        <f>$I$99&amp;"."&amp;$M$99&amp;"."&amp;$Q$99&amp;"."&amp;$U$99</f>
        <v>...</v>
      </c>
    </row>
    <row r="100" spans="1:43" s="36" customFormat="1" ht="17.25" hidden="1" customHeight="1">
      <c r="A100" s="186"/>
      <c r="D100" s="1154"/>
      <c r="E100" s="1161"/>
      <c r="F100" s="1164"/>
      <c r="G100" s="1161"/>
      <c r="H100" s="1167"/>
      <c r="I100" s="1169"/>
      <c r="J100" s="1171"/>
      <c r="K100" s="1156"/>
      <c r="L100" s="1156"/>
      <c r="M100" s="1156"/>
      <c r="N100" s="1158"/>
      <c r="O100" s="1156"/>
      <c r="P100" s="1156"/>
      <c r="Q100" s="1156"/>
      <c r="R100" s="1159"/>
      <c r="S100" s="1156"/>
      <c r="T100" s="737"/>
      <c r="U100" s="737"/>
      <c r="V100" s="737"/>
      <c r="W100" s="738"/>
      <c r="X100" s="18"/>
      <c r="Y100" s="18"/>
      <c r="Z100" s="18"/>
      <c r="AA100" s="18"/>
      <c r="AB100" s="18"/>
      <c r="AC100" s="18"/>
      <c r="AD100" s="18"/>
      <c r="AE100" s="18"/>
      <c r="AF100" s="18"/>
      <c r="AG100" s="18"/>
      <c r="AH100" s="18"/>
      <c r="AI100" s="18"/>
      <c r="AJ100" s="18"/>
      <c r="AK100" s="18"/>
      <c r="AL100" s="18"/>
      <c r="AM100" s="18"/>
      <c r="AN100" s="18"/>
      <c r="AO100" s="18"/>
      <c r="AP100" s="18"/>
      <c r="AQ100" s="18"/>
    </row>
    <row r="101" spans="1:43" s="36" customFormat="1" ht="17.25" hidden="1" customHeight="1">
      <c r="A101" s="186"/>
      <c r="D101" s="1125"/>
      <c r="E101" s="1162"/>
      <c r="F101" s="1164"/>
      <c r="G101" s="1162"/>
      <c r="H101" s="1167"/>
      <c r="I101" s="1169"/>
      <c r="J101" s="1172"/>
      <c r="K101" s="1156"/>
      <c r="L101" s="1156"/>
      <c r="M101" s="1156"/>
      <c r="N101" s="1159"/>
      <c r="O101" s="1156"/>
      <c r="P101" s="56"/>
      <c r="Q101" s="737"/>
      <c r="R101" s="737"/>
      <c r="W101" s="738"/>
      <c r="X101" s="18"/>
      <c r="Y101" s="18"/>
      <c r="Z101" s="18"/>
      <c r="AA101" s="18"/>
      <c r="AB101" s="18"/>
      <c r="AC101" s="18"/>
      <c r="AD101" s="18"/>
      <c r="AE101" s="18"/>
      <c r="AF101" s="18"/>
      <c r="AG101" s="18"/>
      <c r="AH101" s="18"/>
      <c r="AI101" s="18"/>
      <c r="AJ101" s="18"/>
      <c r="AK101" s="18"/>
      <c r="AL101" s="18"/>
      <c r="AM101" s="18"/>
      <c r="AN101" s="18"/>
      <c r="AO101" s="18"/>
      <c r="AP101" s="18"/>
      <c r="AQ101" s="18"/>
    </row>
    <row r="102" spans="1:43" s="36" customFormat="1" ht="17.25" hidden="1" customHeight="1">
      <c r="A102" s="186"/>
      <c r="D102" s="1125"/>
      <c r="E102" s="1162"/>
      <c r="F102" s="1164"/>
      <c r="G102" s="1162"/>
      <c r="H102" s="1167"/>
      <c r="I102" s="1169"/>
      <c r="J102" s="1172"/>
      <c r="K102" s="1156"/>
      <c r="L102" s="737"/>
      <c r="M102" s="737"/>
      <c r="N102" s="737"/>
      <c r="O102" s="737"/>
      <c r="P102" s="737"/>
      <c r="Q102" s="737"/>
      <c r="R102" s="737"/>
      <c r="W102" s="738"/>
      <c r="X102" s="18"/>
      <c r="Y102" s="18"/>
      <c r="Z102" s="18"/>
      <c r="AA102" s="18"/>
      <c r="AB102" s="18"/>
      <c r="AC102" s="18"/>
      <c r="AD102" s="18"/>
      <c r="AE102" s="18"/>
      <c r="AF102" s="18"/>
      <c r="AG102" s="18"/>
      <c r="AH102" s="18"/>
      <c r="AI102" s="18"/>
      <c r="AJ102" s="18"/>
      <c r="AK102" s="18"/>
      <c r="AL102" s="18"/>
      <c r="AM102" s="18"/>
      <c r="AN102" s="18"/>
      <c r="AO102" s="18"/>
      <c r="AP102" s="18"/>
      <c r="AQ102" s="18"/>
    </row>
    <row r="103" spans="1:43" s="36" customFormat="1" ht="17.25" hidden="1" customHeight="1">
      <c r="A103" s="186"/>
      <c r="D103" s="1125"/>
      <c r="E103" s="1162"/>
      <c r="F103" s="1165"/>
      <c r="G103" s="1162"/>
      <c r="H103" s="739"/>
      <c r="I103" s="740"/>
      <c r="J103" s="740"/>
      <c r="K103" s="740"/>
      <c r="L103" s="740"/>
      <c r="M103" s="740"/>
      <c r="N103" s="740"/>
      <c r="O103" s="740"/>
      <c r="P103" s="740"/>
      <c r="Q103" s="740"/>
      <c r="R103" s="740"/>
      <c r="S103" s="741"/>
      <c r="T103" s="741"/>
      <c r="U103" s="741"/>
      <c r="V103" s="741"/>
      <c r="W103" s="742"/>
      <c r="X103" s="18"/>
      <c r="Y103" s="18"/>
      <c r="Z103" s="18"/>
      <c r="AA103" s="18"/>
      <c r="AB103" s="18"/>
      <c r="AC103" s="18"/>
      <c r="AD103" s="18"/>
      <c r="AE103" s="18"/>
      <c r="AF103" s="18"/>
      <c r="AG103" s="18"/>
      <c r="AH103" s="18"/>
      <c r="AI103" s="18"/>
      <c r="AJ103" s="18"/>
      <c r="AK103" s="18"/>
      <c r="AL103" s="18"/>
      <c r="AM103" s="18"/>
      <c r="AN103" s="18"/>
      <c r="AO103" s="18"/>
      <c r="AP103" s="18"/>
      <c r="AQ103" s="18"/>
    </row>
    <row r="104" spans="1:43" s="36" customFormat="1" ht="11.25" hidden="1" customHeight="1">
      <c r="A104" s="69"/>
      <c r="B104" s="69"/>
      <c r="Y104" s="18"/>
      <c r="Z104" s="18"/>
      <c r="AA104" s="18"/>
      <c r="AB104" s="18"/>
      <c r="AC104" s="18"/>
      <c r="AD104" s="18"/>
      <c r="AE104" s="18"/>
      <c r="AF104" s="18"/>
      <c r="AG104" s="18"/>
      <c r="AH104" s="18"/>
      <c r="AI104" s="18"/>
      <c r="AJ104" s="18"/>
      <c r="AK104" s="18"/>
      <c r="AL104" s="18"/>
      <c r="AM104" s="18"/>
      <c r="AN104" s="18"/>
      <c r="AO104" s="18"/>
      <c r="AP104" s="18"/>
      <c r="AQ104" s="18"/>
    </row>
    <row r="105" spans="1:43" s="36" customFormat="1" ht="17.25" hidden="1" customHeight="1">
      <c r="A105" s="186"/>
      <c r="C105" s="76"/>
      <c r="D105" s="1154">
        <v>1</v>
      </c>
      <c r="E105" s="1161" t="s">
        <v>248</v>
      </c>
      <c r="F105" s="1163" t="s">
        <v>52</v>
      </c>
      <c r="G105" s="1161"/>
      <c r="H105" s="1166"/>
      <c r="I105" s="1168"/>
      <c r="J105" s="1170"/>
      <c r="K105" s="1155"/>
      <c r="L105" s="1155"/>
      <c r="M105" s="1155"/>
      <c r="N105" s="1157"/>
      <c r="O105" s="1155"/>
      <c r="P105" s="1155"/>
      <c r="Q105" s="1155"/>
      <c r="R105" s="1160"/>
      <c r="S105" s="1155"/>
      <c r="T105" s="794"/>
      <c r="U105" s="794"/>
      <c r="V105" s="793"/>
      <c r="W105" s="736"/>
      <c r="Y105" s="721"/>
      <c r="Z105" s="721"/>
      <c r="AA105" s="721"/>
      <c r="AB105" s="721"/>
      <c r="AC105" s="721" t="s">
        <v>249</v>
      </c>
      <c r="AD105" s="721" t="s">
        <v>250</v>
      </c>
      <c r="AE105" s="721" t="s">
        <v>251</v>
      </c>
      <c r="AF105" s="721" t="s">
        <v>252</v>
      </c>
      <c r="AG105" s="721"/>
      <c r="AH105" s="721" t="str">
        <f>IF($E$105=0,"",$E$105)</f>
        <v>Тариф на горячую воду (горячее водоснабжение)</v>
      </c>
      <c r="AI105" s="721" t="str">
        <f>IF($G$105=0,"",$G$105)</f>
        <v/>
      </c>
      <c r="AJ105" s="721" t="str">
        <f>IF($J$105=0,"",$J$105)</f>
        <v/>
      </c>
      <c r="AK105" s="721" t="str">
        <f>IF($K$105="нет","без дифференциации",IF($N$105=0,"",$N$105))</f>
        <v/>
      </c>
      <c r="AL105" s="721" t="str">
        <f>IF($O$105="нет","без дифференциации",IF($R$105=0,"",$R$105))</f>
        <v/>
      </c>
      <c r="AM105" s="721" t="str">
        <f>IF($S$105="нет","без дифференциации",IF($V$105=0,"",$V$105))</f>
        <v/>
      </c>
      <c r="AN105" s="721">
        <f>$I$105</f>
        <v>0</v>
      </c>
      <c r="AO105" s="721" t="str">
        <f>$I$105&amp;"."&amp;$M$105</f>
        <v>.</v>
      </c>
      <c r="AP105" s="721" t="str">
        <f>$I$105&amp;"."&amp;$M$105&amp;"."&amp;$Q$105</f>
        <v>..</v>
      </c>
      <c r="AQ105" s="721" t="str">
        <f>$I$105&amp;"."&amp;$M$105&amp;"."&amp;$Q$105&amp;"."&amp;$U$105</f>
        <v>...</v>
      </c>
    </row>
    <row r="106" spans="1:43" s="36" customFormat="1" ht="17.25" hidden="1" customHeight="1">
      <c r="A106" s="186"/>
      <c r="D106" s="1154"/>
      <c r="E106" s="1161"/>
      <c r="F106" s="1164"/>
      <c r="G106" s="1161"/>
      <c r="H106" s="1167"/>
      <c r="I106" s="1169"/>
      <c r="J106" s="1171"/>
      <c r="K106" s="1156"/>
      <c r="L106" s="1156"/>
      <c r="M106" s="1156"/>
      <c r="N106" s="1158"/>
      <c r="O106" s="1156"/>
      <c r="P106" s="1156"/>
      <c r="Q106" s="1156"/>
      <c r="R106" s="1159"/>
      <c r="S106" s="1156"/>
      <c r="T106" s="737"/>
      <c r="U106" s="737"/>
      <c r="V106" s="737"/>
      <c r="W106" s="738"/>
      <c r="Y106" s="18"/>
      <c r="Z106" s="18"/>
      <c r="AA106" s="18"/>
      <c r="AB106" s="18"/>
      <c r="AC106" s="18"/>
      <c r="AD106" s="18"/>
      <c r="AE106" s="18"/>
      <c r="AF106" s="18"/>
      <c r="AG106" s="18"/>
      <c r="AH106" s="18"/>
      <c r="AI106" s="18"/>
      <c r="AJ106" s="18"/>
      <c r="AK106" s="18"/>
      <c r="AL106" s="18"/>
      <c r="AM106" s="18"/>
      <c r="AN106" s="18"/>
      <c r="AO106" s="18"/>
      <c r="AP106" s="18"/>
      <c r="AQ106" s="18"/>
    </row>
    <row r="107" spans="1:43" s="36" customFormat="1" ht="17.25" hidden="1" customHeight="1">
      <c r="A107" s="186"/>
      <c r="C107" s="76"/>
      <c r="D107" s="1154"/>
      <c r="E107" s="1161"/>
      <c r="F107" s="1164"/>
      <c r="G107" s="1161"/>
      <c r="H107" s="1167"/>
      <c r="I107" s="1169"/>
      <c r="J107" s="1172"/>
      <c r="K107" s="1156"/>
      <c r="L107" s="1156"/>
      <c r="M107" s="1156"/>
      <c r="N107" s="1159"/>
      <c r="O107" s="1156"/>
      <c r="P107" s="56"/>
      <c r="Q107" s="737"/>
      <c r="R107" s="737"/>
      <c r="W107" s="738"/>
      <c r="Y107" s="721"/>
      <c r="Z107" s="721"/>
      <c r="AA107" s="721"/>
      <c r="AB107" s="721"/>
      <c r="AC107" s="721"/>
      <c r="AD107" s="721"/>
      <c r="AE107" s="721"/>
      <c r="AF107" s="721"/>
      <c r="AG107" s="721"/>
      <c r="AH107" s="721"/>
      <c r="AI107" s="721"/>
      <c r="AJ107" s="721"/>
      <c r="AK107" s="721"/>
      <c r="AL107" s="721"/>
      <c r="AM107" s="721"/>
      <c r="AN107" s="721"/>
      <c r="AO107" s="721"/>
      <c r="AP107" s="721"/>
      <c r="AQ107" s="721"/>
    </row>
    <row r="108" spans="1:43" s="36" customFormat="1" ht="17.25" hidden="1" customHeight="1">
      <c r="A108" s="186"/>
      <c r="D108" s="1154"/>
      <c r="E108" s="1161"/>
      <c r="F108" s="1164"/>
      <c r="G108" s="1161"/>
      <c r="H108" s="1167"/>
      <c r="I108" s="1169"/>
      <c r="J108" s="1172"/>
      <c r="K108" s="1156"/>
      <c r="L108" s="737"/>
      <c r="M108" s="737"/>
      <c r="N108" s="737"/>
      <c r="O108" s="737"/>
      <c r="P108" s="737"/>
      <c r="Q108" s="737"/>
      <c r="R108" s="737"/>
      <c r="W108" s="738"/>
      <c r="Y108" s="18"/>
      <c r="Z108" s="18"/>
      <c r="AA108" s="18"/>
      <c r="AB108" s="18"/>
      <c r="AC108" s="18"/>
      <c r="AD108" s="18"/>
      <c r="AE108" s="18"/>
      <c r="AF108" s="18"/>
      <c r="AG108" s="18"/>
      <c r="AH108" s="18"/>
      <c r="AI108" s="18"/>
      <c r="AJ108" s="18"/>
      <c r="AK108" s="18"/>
      <c r="AL108" s="18"/>
      <c r="AM108" s="18"/>
      <c r="AN108" s="18"/>
      <c r="AO108" s="18"/>
      <c r="AP108" s="18"/>
      <c r="AQ108" s="18"/>
    </row>
    <row r="109" spans="1:43" s="36" customFormat="1" ht="17.25" hidden="1" customHeight="1">
      <c r="A109" s="186"/>
      <c r="D109" s="1125"/>
      <c r="E109" s="1162"/>
      <c r="F109" s="1165"/>
      <c r="G109" s="1162"/>
      <c r="H109" s="739"/>
      <c r="I109" s="740"/>
      <c r="J109" s="740"/>
      <c r="K109" s="740"/>
      <c r="L109" s="740"/>
      <c r="M109" s="740"/>
      <c r="N109" s="740"/>
      <c r="O109" s="740"/>
      <c r="P109" s="740"/>
      <c r="Q109" s="740"/>
      <c r="R109" s="740"/>
      <c r="S109" s="741"/>
      <c r="T109" s="741"/>
      <c r="U109" s="741"/>
      <c r="V109" s="741"/>
      <c r="W109" s="742"/>
      <c r="Y109" s="18"/>
      <c r="Z109" s="18"/>
      <c r="AA109" s="18"/>
      <c r="AB109" s="18"/>
      <c r="AC109" s="18"/>
      <c r="AD109" s="18"/>
      <c r="AE109" s="18"/>
      <c r="AF109" s="18"/>
      <c r="AG109" s="18"/>
      <c r="AH109" s="18"/>
      <c r="AI109" s="18"/>
      <c r="AJ109" s="18"/>
      <c r="AK109" s="18"/>
      <c r="AL109" s="18"/>
      <c r="AM109" s="18"/>
      <c r="AN109" s="18"/>
      <c r="AO109" s="18"/>
      <c r="AP109" s="18"/>
      <c r="AQ109" s="18"/>
    </row>
    <row r="110" spans="1:43" s="36" customFormat="1" ht="17.25" hidden="1" customHeight="1">
      <c r="A110" s="186"/>
      <c r="C110" s="76"/>
      <c r="D110" s="1154">
        <v>2</v>
      </c>
      <c r="E110" s="1161" t="s">
        <v>253</v>
      </c>
      <c r="F110" s="1163" t="s">
        <v>52</v>
      </c>
      <c r="G110" s="1161"/>
      <c r="H110" s="1166"/>
      <c r="I110" s="1168"/>
      <c r="J110" s="1170"/>
      <c r="K110" s="1155"/>
      <c r="L110" s="1155"/>
      <c r="M110" s="1155"/>
      <c r="N110" s="1157"/>
      <c r="O110" s="1155"/>
      <c r="P110" s="1155"/>
      <c r="Q110" s="1155"/>
      <c r="R110" s="1160"/>
      <c r="S110" s="1155"/>
      <c r="T110" s="794"/>
      <c r="U110" s="794"/>
      <c r="V110" s="793"/>
      <c r="W110" s="736"/>
      <c r="X110" s="721"/>
      <c r="Y110" s="721"/>
      <c r="Z110" s="721"/>
      <c r="AA110" s="721"/>
      <c r="AB110" s="721"/>
      <c r="AC110" s="721" t="s">
        <v>254</v>
      </c>
      <c r="AD110" s="721" t="s">
        <v>255</v>
      </c>
      <c r="AE110" s="721" t="s">
        <v>256</v>
      </c>
      <c r="AF110" s="721" t="s">
        <v>257</v>
      </c>
      <c r="AG110" s="721"/>
      <c r="AH110" s="721" t="str">
        <f>IF($E$110=0,"",$E$110)</f>
        <v>Тариф на транспортировку горячей воды</v>
      </c>
      <c r="AI110" s="721" t="str">
        <f>IF($G$110=0,"",$G$110)</f>
        <v/>
      </c>
      <c r="AJ110" s="721" t="str">
        <f>IF($J$110=0,"",$J$110)</f>
        <v/>
      </c>
      <c r="AK110" s="721" t="str">
        <f>IF($K$110="нет","без дифференциации",IF($N$110=0,"",$N$110))</f>
        <v/>
      </c>
      <c r="AL110" s="721" t="str">
        <f>IF($O$110="нет","без дифференциации",IF($R$110=0,"",$R$110))</f>
        <v/>
      </c>
      <c r="AM110" s="721" t="str">
        <f>IF($S$110="нет","без дифференциации",IF($V$110=0,"",$V$110))</f>
        <v/>
      </c>
      <c r="AN110" s="963">
        <f>$I$110</f>
        <v>0</v>
      </c>
      <c r="AO110" s="721" t="str">
        <f>$I$110&amp;"."&amp;$M$110</f>
        <v>.</v>
      </c>
      <c r="AP110" s="18" t="str">
        <f>$I$110&amp;"."&amp;$M$110&amp;"."&amp;$Q$110</f>
        <v>..</v>
      </c>
      <c r="AQ110" s="18" t="str">
        <f>$I$110&amp;"."&amp;$M$110&amp;"."&amp;$Q$110&amp;"."&amp;$U$110</f>
        <v>...</v>
      </c>
    </row>
    <row r="111" spans="1:43" s="36" customFormat="1" ht="17.25" hidden="1" customHeight="1">
      <c r="A111" s="186"/>
      <c r="D111" s="1154"/>
      <c r="E111" s="1161"/>
      <c r="F111" s="1164"/>
      <c r="G111" s="1161"/>
      <c r="H111" s="1167"/>
      <c r="I111" s="1169"/>
      <c r="J111" s="1171"/>
      <c r="K111" s="1156"/>
      <c r="L111" s="1156"/>
      <c r="M111" s="1156"/>
      <c r="N111" s="1158"/>
      <c r="O111" s="1156"/>
      <c r="P111" s="1156"/>
      <c r="Q111" s="1156"/>
      <c r="R111" s="1159"/>
      <c r="S111" s="1156"/>
      <c r="T111" s="737"/>
      <c r="U111" s="737"/>
      <c r="V111" s="737"/>
      <c r="W111" s="738"/>
      <c r="X111" s="18"/>
      <c r="Y111" s="18"/>
      <c r="Z111" s="18"/>
      <c r="AA111" s="18"/>
      <c r="AB111" s="18"/>
      <c r="AC111" s="18"/>
      <c r="AD111" s="18"/>
      <c r="AE111" s="18"/>
      <c r="AF111" s="18"/>
      <c r="AG111" s="18"/>
      <c r="AH111" s="18"/>
      <c r="AI111" s="18"/>
      <c r="AJ111" s="18"/>
      <c r="AK111" s="18"/>
      <c r="AL111" s="18"/>
      <c r="AM111" s="18"/>
      <c r="AN111" s="18"/>
      <c r="AO111" s="18"/>
      <c r="AP111" s="18"/>
      <c r="AQ111" s="18"/>
    </row>
    <row r="112" spans="1:43" s="36" customFormat="1" ht="17.25" hidden="1" customHeight="1">
      <c r="A112" s="186"/>
      <c r="D112" s="1125"/>
      <c r="E112" s="1162"/>
      <c r="F112" s="1164"/>
      <c r="G112" s="1162"/>
      <c r="H112" s="1167"/>
      <c r="I112" s="1169"/>
      <c r="J112" s="1172"/>
      <c r="K112" s="1156"/>
      <c r="L112" s="1156"/>
      <c r="M112" s="1156"/>
      <c r="N112" s="1159"/>
      <c r="O112" s="1156"/>
      <c r="P112" s="56"/>
      <c r="Q112" s="737"/>
      <c r="R112" s="737"/>
      <c r="W112" s="738"/>
      <c r="X112" s="18"/>
      <c r="Y112" s="18"/>
      <c r="Z112" s="18"/>
      <c r="AA112" s="18"/>
      <c r="AB112" s="18"/>
      <c r="AC112" s="18"/>
      <c r="AD112" s="18"/>
      <c r="AE112" s="18"/>
      <c r="AF112" s="18"/>
      <c r="AG112" s="18"/>
      <c r="AH112" s="18"/>
      <c r="AI112" s="18"/>
      <c r="AJ112" s="18"/>
      <c r="AK112" s="18"/>
      <c r="AL112" s="18"/>
      <c r="AM112" s="18"/>
      <c r="AN112" s="18"/>
      <c r="AO112" s="18"/>
      <c r="AP112" s="18"/>
      <c r="AQ112" s="18"/>
    </row>
    <row r="113" spans="1:43" s="36" customFormat="1" ht="17.25" hidden="1" customHeight="1">
      <c r="A113" s="186"/>
      <c r="D113" s="1125"/>
      <c r="E113" s="1162"/>
      <c r="F113" s="1164"/>
      <c r="G113" s="1162"/>
      <c r="H113" s="1167"/>
      <c r="I113" s="1169"/>
      <c r="J113" s="1172"/>
      <c r="K113" s="1156"/>
      <c r="L113" s="737"/>
      <c r="M113" s="737"/>
      <c r="N113" s="737"/>
      <c r="O113" s="737"/>
      <c r="P113" s="737"/>
      <c r="Q113" s="737"/>
      <c r="R113" s="737"/>
      <c r="W113" s="738"/>
      <c r="X113" s="18"/>
      <c r="Y113" s="18"/>
      <c r="Z113" s="18"/>
      <c r="AA113" s="18"/>
      <c r="AB113" s="18"/>
      <c r="AC113" s="18"/>
      <c r="AD113" s="18"/>
      <c r="AE113" s="18"/>
      <c r="AF113" s="18"/>
      <c r="AG113" s="18"/>
      <c r="AH113" s="18"/>
      <c r="AI113" s="18"/>
      <c r="AJ113" s="18"/>
      <c r="AK113" s="18"/>
      <c r="AL113" s="18"/>
      <c r="AM113" s="18"/>
      <c r="AN113" s="18"/>
      <c r="AO113" s="18"/>
      <c r="AP113" s="18"/>
      <c r="AQ113" s="18"/>
    </row>
    <row r="114" spans="1:43" s="36" customFormat="1" ht="17.25" hidden="1" customHeight="1">
      <c r="A114" s="186"/>
      <c r="D114" s="1125"/>
      <c r="E114" s="1162"/>
      <c r="F114" s="1165"/>
      <c r="G114" s="1162"/>
      <c r="H114" s="739"/>
      <c r="I114" s="740"/>
      <c r="J114" s="740"/>
      <c r="K114" s="740"/>
      <c r="L114" s="740"/>
      <c r="M114" s="740"/>
      <c r="N114" s="740"/>
      <c r="O114" s="740"/>
      <c r="P114" s="740"/>
      <c r="Q114" s="740"/>
      <c r="R114" s="740"/>
      <c r="S114" s="741"/>
      <c r="T114" s="741"/>
      <c r="U114" s="741"/>
      <c r="V114" s="741"/>
      <c r="W114" s="742"/>
      <c r="X114" s="18"/>
      <c r="Y114" s="18"/>
      <c r="Z114" s="18"/>
      <c r="AA114" s="18"/>
      <c r="AB114" s="18"/>
      <c r="AC114" s="18"/>
      <c r="AD114" s="18"/>
      <c r="AE114" s="18"/>
      <c r="AF114" s="18"/>
      <c r="AG114" s="18"/>
      <c r="AH114" s="18"/>
      <c r="AI114" s="18"/>
      <c r="AJ114" s="18"/>
      <c r="AK114" s="18"/>
      <c r="AL114" s="18"/>
      <c r="AM114" s="18"/>
      <c r="AN114" s="18"/>
      <c r="AO114" s="18"/>
      <c r="AP114" s="18"/>
      <c r="AQ114" s="18"/>
    </row>
    <row r="115" spans="1:43" s="36" customFormat="1" ht="17.25" hidden="1" customHeight="1">
      <c r="A115" s="186"/>
      <c r="C115" s="76"/>
      <c r="D115" s="1154">
        <v>3</v>
      </c>
      <c r="E115" s="1161" t="s">
        <v>258</v>
      </c>
      <c r="F115" s="1163" t="s">
        <v>52</v>
      </c>
      <c r="G115" s="1161"/>
      <c r="H115" s="1166"/>
      <c r="I115" s="1168"/>
      <c r="J115" s="1170"/>
      <c r="K115" s="1155"/>
      <c r="L115" s="1155"/>
      <c r="M115" s="1155"/>
      <c r="N115" s="1157"/>
      <c r="O115" s="1155"/>
      <c r="P115" s="1155"/>
      <c r="Q115" s="1155"/>
      <c r="R115" s="1160"/>
      <c r="S115" s="1155"/>
      <c r="T115" s="794"/>
      <c r="U115" s="794"/>
      <c r="V115" s="793"/>
      <c r="W115" s="736"/>
      <c r="X115" s="721"/>
      <c r="Y115" s="721"/>
      <c r="Z115" s="721"/>
      <c r="AA115" s="721"/>
      <c r="AB115" s="721"/>
      <c r="AC115" s="721" t="s">
        <v>259</v>
      </c>
      <c r="AD115" s="721" t="s">
        <v>260</v>
      </c>
      <c r="AE115" s="721" t="s">
        <v>261</v>
      </c>
      <c r="AF115" s="721" t="s">
        <v>262</v>
      </c>
      <c r="AG115" s="721"/>
      <c r="AH115" s="721" t="str">
        <f>IF($E$115=0,"",$E$115)</f>
        <v>Тариф на подключение (технологическое присоединение) к централизованной системе горячего водоснабжения</v>
      </c>
      <c r="AI115" s="721" t="str">
        <f>IF($G$115=0,"",$G$115)</f>
        <v/>
      </c>
      <c r="AJ115" s="721" t="str">
        <f>IF($J$115=0,"",$J$115)</f>
        <v/>
      </c>
      <c r="AK115" s="721" t="str">
        <f>IF($K$115="нет","без дифференциации",IF($N$115=0,"",$N$115))</f>
        <v/>
      </c>
      <c r="AL115" s="721" t="str">
        <f>IF($O$115="нет","без дифференциации",IF($R$115=0,"",$R$115))</f>
        <v/>
      </c>
      <c r="AM115" s="721" t="str">
        <f>IF($S$115="нет","без дифференциации",IF($V$115=0,"",$V$115))</f>
        <v/>
      </c>
      <c r="AN115" s="963">
        <f>$I$115</f>
        <v>0</v>
      </c>
      <c r="AO115" s="721" t="str">
        <f>$I$115&amp;"."&amp;$M$115</f>
        <v>.</v>
      </c>
      <c r="AP115" s="18" t="str">
        <f>$I$115&amp;"."&amp;$M$115&amp;"."&amp;$Q$115</f>
        <v>..</v>
      </c>
      <c r="AQ115" s="18" t="str">
        <f>$I$115&amp;"."&amp;$M$115&amp;"."&amp;$Q$115&amp;"."&amp;$U$115</f>
        <v>...</v>
      </c>
    </row>
    <row r="116" spans="1:43" s="36" customFormat="1" ht="17.25" hidden="1" customHeight="1">
      <c r="A116" s="186"/>
      <c r="D116" s="1154"/>
      <c r="E116" s="1161"/>
      <c r="F116" s="1164"/>
      <c r="G116" s="1161"/>
      <c r="H116" s="1167"/>
      <c r="I116" s="1169"/>
      <c r="J116" s="1171"/>
      <c r="K116" s="1156"/>
      <c r="L116" s="1156"/>
      <c r="M116" s="1156"/>
      <c r="N116" s="1158"/>
      <c r="O116" s="1156"/>
      <c r="P116" s="1156"/>
      <c r="Q116" s="1156"/>
      <c r="R116" s="1159"/>
      <c r="S116" s="1156"/>
      <c r="T116" s="737"/>
      <c r="U116" s="737"/>
      <c r="V116" s="737"/>
      <c r="W116" s="738"/>
      <c r="X116" s="18"/>
      <c r="Y116" s="18"/>
      <c r="Z116" s="18"/>
      <c r="AA116" s="18"/>
      <c r="AB116" s="18"/>
      <c r="AC116" s="18"/>
      <c r="AD116" s="18"/>
      <c r="AE116" s="18"/>
      <c r="AF116" s="18"/>
      <c r="AG116" s="18"/>
      <c r="AH116" s="18"/>
      <c r="AI116" s="18"/>
      <c r="AJ116" s="18"/>
      <c r="AK116" s="18"/>
      <c r="AL116" s="18"/>
      <c r="AM116" s="18"/>
      <c r="AN116" s="18"/>
      <c r="AO116" s="18"/>
      <c r="AP116" s="18"/>
      <c r="AQ116" s="18"/>
    </row>
    <row r="117" spans="1:43" s="36" customFormat="1" ht="17.25" hidden="1" customHeight="1">
      <c r="A117" s="186"/>
      <c r="D117" s="1125"/>
      <c r="E117" s="1162"/>
      <c r="F117" s="1164"/>
      <c r="G117" s="1162"/>
      <c r="H117" s="1167"/>
      <c r="I117" s="1169"/>
      <c r="J117" s="1172"/>
      <c r="K117" s="1156"/>
      <c r="L117" s="1156"/>
      <c r="M117" s="1156"/>
      <c r="N117" s="1159"/>
      <c r="O117" s="1156"/>
      <c r="P117" s="56"/>
      <c r="Q117" s="737"/>
      <c r="R117" s="737"/>
      <c r="W117" s="738"/>
      <c r="X117" s="18"/>
      <c r="Y117" s="18"/>
      <c r="Z117" s="18"/>
      <c r="AA117" s="18"/>
      <c r="AB117" s="18"/>
      <c r="AC117" s="18"/>
      <c r="AD117" s="18"/>
      <c r="AE117" s="18"/>
      <c r="AF117" s="18"/>
      <c r="AG117" s="18"/>
      <c r="AH117" s="18"/>
      <c r="AI117" s="18"/>
      <c r="AJ117" s="18"/>
      <c r="AK117" s="18"/>
      <c r="AL117" s="18"/>
      <c r="AM117" s="18"/>
      <c r="AN117" s="18"/>
      <c r="AO117" s="18"/>
      <c r="AP117" s="18"/>
      <c r="AQ117" s="18"/>
    </row>
    <row r="118" spans="1:43" s="36" customFormat="1" ht="17.25" hidden="1" customHeight="1">
      <c r="A118" s="186"/>
      <c r="D118" s="1125"/>
      <c r="E118" s="1162"/>
      <c r="F118" s="1164"/>
      <c r="G118" s="1162"/>
      <c r="H118" s="1167"/>
      <c r="I118" s="1169"/>
      <c r="J118" s="1172"/>
      <c r="K118" s="1156"/>
      <c r="L118" s="737"/>
      <c r="M118" s="737"/>
      <c r="N118" s="737"/>
      <c r="O118" s="737"/>
      <c r="P118" s="737"/>
      <c r="Q118" s="737"/>
      <c r="R118" s="737"/>
      <c r="W118" s="738"/>
      <c r="X118" s="18"/>
      <c r="Y118" s="18"/>
      <c r="Z118" s="18"/>
      <c r="AA118" s="18"/>
      <c r="AB118" s="18"/>
      <c r="AC118" s="18"/>
      <c r="AD118" s="18"/>
      <c r="AE118" s="18"/>
      <c r="AF118" s="18"/>
      <c r="AG118" s="18"/>
      <c r="AH118" s="18"/>
      <c r="AI118" s="18"/>
      <c r="AJ118" s="18"/>
      <c r="AK118" s="18"/>
      <c r="AL118" s="18"/>
      <c r="AM118" s="18"/>
      <c r="AN118" s="18"/>
      <c r="AO118" s="18"/>
      <c r="AP118" s="18"/>
      <c r="AQ118" s="18"/>
    </row>
    <row r="119" spans="1:43" s="36" customFormat="1" ht="17.25" hidden="1" customHeight="1">
      <c r="A119" s="186"/>
      <c r="D119" s="1125"/>
      <c r="E119" s="1162"/>
      <c r="F119" s="1165"/>
      <c r="G119" s="1162"/>
      <c r="H119" s="739"/>
      <c r="I119" s="740"/>
      <c r="J119" s="740"/>
      <c r="K119" s="740"/>
      <c r="L119" s="740"/>
      <c r="M119" s="740"/>
      <c r="N119" s="740"/>
      <c r="O119" s="740"/>
      <c r="P119" s="740"/>
      <c r="Q119" s="740"/>
      <c r="R119" s="740"/>
      <c r="S119" s="741"/>
      <c r="T119" s="741"/>
      <c r="U119" s="741"/>
      <c r="V119" s="741"/>
      <c r="W119" s="742"/>
      <c r="X119" s="18"/>
      <c r="Y119" s="18"/>
      <c r="Z119" s="18"/>
      <c r="AA119" s="18"/>
      <c r="AB119" s="18"/>
      <c r="AC119" s="18"/>
      <c r="AD119" s="18"/>
      <c r="AE119" s="18"/>
      <c r="AF119" s="18"/>
      <c r="AG119" s="18"/>
      <c r="AH119" s="18"/>
      <c r="AI119" s="18"/>
      <c r="AJ119" s="18"/>
      <c r="AK119" s="18"/>
      <c r="AL119" s="18"/>
      <c r="AM119" s="18"/>
      <c r="AN119" s="18"/>
      <c r="AO119" s="18"/>
      <c r="AP119" s="18"/>
      <c r="AQ119" s="18"/>
    </row>
    <row r="120" spans="1:43" s="36" customFormat="1" ht="11.25" hidden="1" customHeight="1">
      <c r="A120" s="69"/>
      <c r="B120" s="69"/>
      <c r="Y120" s="18"/>
      <c r="Z120" s="18"/>
      <c r="AA120" s="18"/>
      <c r="AB120" s="18"/>
      <c r="AC120" s="18"/>
      <c r="AD120" s="18"/>
      <c r="AE120" s="18"/>
      <c r="AF120" s="18"/>
      <c r="AG120" s="18"/>
      <c r="AH120" s="18"/>
      <c r="AI120" s="18"/>
      <c r="AJ120" s="18"/>
      <c r="AK120" s="18"/>
      <c r="AL120" s="18"/>
      <c r="AM120" s="18"/>
      <c r="AN120" s="18"/>
      <c r="AO120" s="18"/>
      <c r="AP120" s="18"/>
      <c r="AQ120" s="18"/>
    </row>
    <row r="121" spans="1:43" s="36" customFormat="1" ht="17.25" hidden="1" customHeight="1">
      <c r="A121" s="186"/>
      <c r="C121" s="76"/>
      <c r="D121" s="1154">
        <v>1</v>
      </c>
      <c r="E121" s="1161" t="s">
        <v>263</v>
      </c>
      <c r="F121" s="1163" t="s">
        <v>52</v>
      </c>
      <c r="G121" s="1161"/>
      <c r="H121" s="1166"/>
      <c r="I121" s="1168"/>
      <c r="J121" s="1170"/>
      <c r="K121" s="1155"/>
      <c r="L121" s="1155"/>
      <c r="M121" s="1155"/>
      <c r="N121" s="1157"/>
      <c r="O121" s="1155"/>
      <c r="P121" s="1155"/>
      <c r="Q121" s="1155"/>
      <c r="R121" s="1160"/>
      <c r="S121" s="1155"/>
      <c r="T121" s="794"/>
      <c r="U121" s="794"/>
      <c r="V121" s="793"/>
      <c r="W121" s="736"/>
      <c r="Y121" s="721"/>
      <c r="Z121" s="721"/>
      <c r="AA121" s="721"/>
      <c r="AB121" s="721"/>
      <c r="AC121" s="721" t="s">
        <v>264</v>
      </c>
      <c r="AD121" s="721" t="s">
        <v>265</v>
      </c>
      <c r="AE121" s="721" t="s">
        <v>266</v>
      </c>
      <c r="AF121" s="721" t="s">
        <v>267</v>
      </c>
      <c r="AG121" s="721"/>
      <c r="AH121" s="721" t="str">
        <f>IF($E$121=0,"",$E$121)</f>
        <v>Тариф на водоотведение</v>
      </c>
      <c r="AI121" s="721" t="str">
        <f>IF($G$121=0,"",$G$121)</f>
        <v/>
      </c>
      <c r="AJ121" s="721" t="str">
        <f>IF($J$121=0,"",$J$121)</f>
        <v/>
      </c>
      <c r="AK121" s="721" t="str">
        <f>IF($K$121="нет","без дифференциации",IF($N$121=0,"",$N$121))</f>
        <v/>
      </c>
      <c r="AL121" s="721" t="str">
        <f>IF($O$121="нет","без дифференциации",IF($R$121=0,"",$R$121))</f>
        <v/>
      </c>
      <c r="AM121" s="721" t="str">
        <f>IF($S$121="нет","без дифференциации",IF($V$121=0,"",$V$121))</f>
        <v/>
      </c>
      <c r="AN121" s="721">
        <f>$I$121</f>
        <v>0</v>
      </c>
      <c r="AO121" s="721" t="str">
        <f>$I$121&amp;"."&amp;$M$121</f>
        <v>.</v>
      </c>
      <c r="AP121" s="721" t="str">
        <f>$I$121&amp;"."&amp;$M$121&amp;"."&amp;$Q$121</f>
        <v>..</v>
      </c>
      <c r="AQ121" s="721" t="str">
        <f>$I$121&amp;"."&amp;$M$121&amp;"."&amp;$Q$121&amp;"."&amp;$U$121</f>
        <v>...</v>
      </c>
    </row>
    <row r="122" spans="1:43" s="36" customFormat="1" ht="17.25" hidden="1" customHeight="1">
      <c r="A122" s="186"/>
      <c r="D122" s="1154"/>
      <c r="E122" s="1161"/>
      <c r="F122" s="1164"/>
      <c r="G122" s="1161"/>
      <c r="H122" s="1167"/>
      <c r="I122" s="1169"/>
      <c r="J122" s="1171"/>
      <c r="K122" s="1156"/>
      <c r="L122" s="1156"/>
      <c r="M122" s="1156"/>
      <c r="N122" s="1158"/>
      <c r="O122" s="1156"/>
      <c r="P122" s="1156"/>
      <c r="Q122" s="1156"/>
      <c r="R122" s="1159"/>
      <c r="S122" s="1156"/>
      <c r="T122" s="737"/>
      <c r="U122" s="737"/>
      <c r="V122" s="737"/>
      <c r="W122" s="738"/>
      <c r="Y122" s="18"/>
      <c r="Z122" s="18"/>
      <c r="AA122" s="18"/>
      <c r="AB122" s="18"/>
      <c r="AC122" s="18"/>
      <c r="AD122" s="18"/>
      <c r="AE122" s="18"/>
      <c r="AF122" s="18"/>
      <c r="AG122" s="18"/>
      <c r="AH122" s="18"/>
      <c r="AI122" s="18"/>
      <c r="AJ122" s="18"/>
      <c r="AK122" s="18"/>
      <c r="AL122" s="18"/>
      <c r="AM122" s="18"/>
      <c r="AN122" s="18"/>
      <c r="AO122" s="18"/>
      <c r="AP122" s="18"/>
      <c r="AQ122" s="18"/>
    </row>
    <row r="123" spans="1:43" s="36" customFormat="1" ht="17.25" hidden="1" customHeight="1">
      <c r="A123" s="186"/>
      <c r="C123" s="76"/>
      <c r="D123" s="1154"/>
      <c r="E123" s="1161"/>
      <c r="F123" s="1164"/>
      <c r="G123" s="1161"/>
      <c r="H123" s="1167"/>
      <c r="I123" s="1169"/>
      <c r="J123" s="1172"/>
      <c r="K123" s="1156"/>
      <c r="L123" s="1156"/>
      <c r="M123" s="1156"/>
      <c r="N123" s="1159"/>
      <c r="O123" s="1156"/>
      <c r="P123" s="56"/>
      <c r="Q123" s="737"/>
      <c r="R123" s="737"/>
      <c r="W123" s="738"/>
      <c r="Y123" s="721"/>
      <c r="Z123" s="721"/>
      <c r="AA123" s="721"/>
      <c r="AB123" s="721"/>
      <c r="AC123" s="721"/>
      <c r="AD123" s="721"/>
      <c r="AE123" s="721"/>
      <c r="AF123" s="721"/>
      <c r="AG123" s="721"/>
      <c r="AH123" s="721"/>
      <c r="AI123" s="721"/>
      <c r="AJ123" s="721"/>
      <c r="AK123" s="721"/>
      <c r="AL123" s="721"/>
      <c r="AM123" s="721"/>
      <c r="AN123" s="721"/>
      <c r="AO123" s="721"/>
      <c r="AP123" s="721"/>
      <c r="AQ123" s="721"/>
    </row>
    <row r="124" spans="1:43" s="36" customFormat="1" ht="17.25" hidden="1" customHeight="1">
      <c r="A124" s="186"/>
      <c r="D124" s="1154"/>
      <c r="E124" s="1161"/>
      <c r="F124" s="1164"/>
      <c r="G124" s="1161"/>
      <c r="H124" s="1167"/>
      <c r="I124" s="1169"/>
      <c r="J124" s="1172"/>
      <c r="K124" s="1156"/>
      <c r="L124" s="737"/>
      <c r="M124" s="737"/>
      <c r="N124" s="737"/>
      <c r="O124" s="737"/>
      <c r="P124" s="737"/>
      <c r="Q124" s="737"/>
      <c r="R124" s="737"/>
      <c r="W124" s="738"/>
      <c r="Y124" s="18"/>
      <c r="Z124" s="18"/>
      <c r="AA124" s="18"/>
      <c r="AB124" s="18"/>
      <c r="AC124" s="18"/>
      <c r="AD124" s="18"/>
      <c r="AE124" s="18"/>
      <c r="AF124" s="18"/>
      <c r="AG124" s="18"/>
      <c r="AH124" s="18"/>
      <c r="AI124" s="18"/>
      <c r="AJ124" s="18"/>
      <c r="AK124" s="18"/>
      <c r="AL124" s="18"/>
      <c r="AM124" s="18"/>
      <c r="AN124" s="18"/>
      <c r="AO124" s="18"/>
      <c r="AP124" s="18"/>
      <c r="AQ124" s="18"/>
    </row>
    <row r="125" spans="1:43" s="36" customFormat="1" ht="17.25" hidden="1" customHeight="1">
      <c r="A125" s="186"/>
      <c r="D125" s="1125"/>
      <c r="E125" s="1162"/>
      <c r="F125" s="1165"/>
      <c r="G125" s="1162"/>
      <c r="H125" s="739"/>
      <c r="I125" s="740"/>
      <c r="J125" s="740"/>
      <c r="K125" s="740"/>
      <c r="L125" s="740"/>
      <c r="M125" s="740"/>
      <c r="N125" s="740"/>
      <c r="O125" s="740"/>
      <c r="P125" s="740"/>
      <c r="Q125" s="740"/>
      <c r="R125" s="740"/>
      <c r="S125" s="741"/>
      <c r="T125" s="741"/>
      <c r="U125" s="741"/>
      <c r="V125" s="741"/>
      <c r="W125" s="742"/>
      <c r="Y125" s="18"/>
      <c r="Z125" s="18"/>
      <c r="AA125" s="18"/>
      <c r="AB125" s="18"/>
      <c r="AC125" s="18"/>
      <c r="AD125" s="18"/>
      <c r="AE125" s="18"/>
      <c r="AF125" s="18"/>
      <c r="AG125" s="18"/>
      <c r="AH125" s="18"/>
      <c r="AI125" s="18"/>
      <c r="AJ125" s="18"/>
      <c r="AK125" s="18"/>
      <c r="AL125" s="18"/>
      <c r="AM125" s="18"/>
      <c r="AN125" s="18"/>
      <c r="AO125" s="18"/>
      <c r="AP125" s="18"/>
      <c r="AQ125" s="18"/>
    </row>
    <row r="126" spans="1:43" s="36" customFormat="1" ht="17.25" hidden="1" customHeight="1">
      <c r="A126" s="186"/>
      <c r="C126" s="76"/>
      <c r="D126" s="1154">
        <v>2</v>
      </c>
      <c r="E126" s="1161" t="s">
        <v>268</v>
      </c>
      <c r="F126" s="1163" t="s">
        <v>52</v>
      </c>
      <c r="G126" s="1161"/>
      <c r="H126" s="1166"/>
      <c r="I126" s="1168"/>
      <c r="J126" s="1170"/>
      <c r="K126" s="1155"/>
      <c r="L126" s="1155"/>
      <c r="M126" s="1155"/>
      <c r="N126" s="1157"/>
      <c r="O126" s="1155"/>
      <c r="P126" s="1155"/>
      <c r="Q126" s="1155"/>
      <c r="R126" s="1160"/>
      <c r="S126" s="1155"/>
      <c r="T126" s="794"/>
      <c r="U126" s="794"/>
      <c r="V126" s="793"/>
      <c r="W126" s="736"/>
      <c r="X126" s="721"/>
      <c r="Y126" s="721"/>
      <c r="Z126" s="721"/>
      <c r="AA126" s="721"/>
      <c r="AB126" s="721"/>
      <c r="AC126" s="721" t="s">
        <v>269</v>
      </c>
      <c r="AD126" s="721" t="s">
        <v>270</v>
      </c>
      <c r="AE126" s="721" t="s">
        <v>271</v>
      </c>
      <c r="AF126" s="721" t="s">
        <v>272</v>
      </c>
      <c r="AG126" s="721"/>
      <c r="AH126" s="721" t="str">
        <f>IF($E$126=0,"",$E$126)</f>
        <v>Тариф на транспортировку сточных вод</v>
      </c>
      <c r="AI126" s="721" t="str">
        <f>IF($G$126=0,"",$G$126)</f>
        <v/>
      </c>
      <c r="AJ126" s="721" t="str">
        <f>IF($J$126=0,"",$J$126)</f>
        <v/>
      </c>
      <c r="AK126" s="721" t="str">
        <f>IF($K$126="нет","без дифференциации",IF($N$126=0,"",$N$126))</f>
        <v/>
      </c>
      <c r="AL126" s="721" t="str">
        <f>IF($O$126="нет","без дифференциации",IF($R$126=0,"",$R$126))</f>
        <v/>
      </c>
      <c r="AM126" s="721" t="str">
        <f>IF($S$126="нет","без дифференциации",IF($V$126=0,"",$V$126))</f>
        <v/>
      </c>
      <c r="AN126" s="963">
        <f>$I$126</f>
        <v>0</v>
      </c>
      <c r="AO126" s="721" t="str">
        <f>$I$126&amp;"."&amp;$M$126</f>
        <v>.</v>
      </c>
      <c r="AP126" s="18" t="str">
        <f>$I$126&amp;"."&amp;$M$126&amp;"."&amp;$Q$126</f>
        <v>..</v>
      </c>
      <c r="AQ126" s="18" t="str">
        <f>$I$126&amp;"."&amp;$M$126&amp;"."&amp;$Q$126&amp;"."&amp;$U$126</f>
        <v>...</v>
      </c>
    </row>
    <row r="127" spans="1:43" s="36" customFormat="1" ht="17.25" hidden="1" customHeight="1">
      <c r="A127" s="186"/>
      <c r="D127" s="1154"/>
      <c r="E127" s="1161"/>
      <c r="F127" s="1164"/>
      <c r="G127" s="1161"/>
      <c r="H127" s="1167"/>
      <c r="I127" s="1169"/>
      <c r="J127" s="1171"/>
      <c r="K127" s="1156"/>
      <c r="L127" s="1156"/>
      <c r="M127" s="1156"/>
      <c r="N127" s="1158"/>
      <c r="O127" s="1156"/>
      <c r="P127" s="1156"/>
      <c r="Q127" s="1156"/>
      <c r="R127" s="1159"/>
      <c r="S127" s="1156"/>
      <c r="T127" s="737"/>
      <c r="U127" s="737"/>
      <c r="V127" s="737"/>
      <c r="W127" s="738"/>
      <c r="X127" s="18"/>
      <c r="Y127" s="18"/>
      <c r="Z127" s="18"/>
      <c r="AA127" s="18"/>
      <c r="AB127" s="18"/>
      <c r="AC127" s="18"/>
      <c r="AD127" s="18"/>
      <c r="AE127" s="18"/>
      <c r="AF127" s="18"/>
      <c r="AG127" s="18"/>
      <c r="AH127" s="18"/>
      <c r="AI127" s="18"/>
      <c r="AJ127" s="18"/>
      <c r="AK127" s="18"/>
      <c r="AL127" s="18"/>
      <c r="AM127" s="18"/>
      <c r="AN127" s="18"/>
      <c r="AO127" s="18"/>
      <c r="AP127" s="18"/>
      <c r="AQ127" s="18"/>
    </row>
    <row r="128" spans="1:43" s="36" customFormat="1" ht="17.25" hidden="1" customHeight="1">
      <c r="A128" s="186"/>
      <c r="D128" s="1125"/>
      <c r="E128" s="1162"/>
      <c r="F128" s="1164"/>
      <c r="G128" s="1162"/>
      <c r="H128" s="1167"/>
      <c r="I128" s="1169"/>
      <c r="J128" s="1172"/>
      <c r="K128" s="1156"/>
      <c r="L128" s="1156"/>
      <c r="M128" s="1156"/>
      <c r="N128" s="1159"/>
      <c r="O128" s="1156"/>
      <c r="P128" s="56"/>
      <c r="Q128" s="737"/>
      <c r="R128" s="737"/>
      <c r="W128" s="738"/>
      <c r="X128" s="18"/>
      <c r="Y128" s="18"/>
      <c r="Z128" s="18"/>
      <c r="AA128" s="18"/>
      <c r="AB128" s="18"/>
      <c r="AC128" s="18"/>
      <c r="AD128" s="18"/>
      <c r="AE128" s="18"/>
      <c r="AF128" s="18"/>
      <c r="AG128" s="18"/>
      <c r="AH128" s="18"/>
      <c r="AI128" s="18"/>
      <c r="AJ128" s="18"/>
      <c r="AK128" s="18"/>
      <c r="AL128" s="18"/>
      <c r="AM128" s="18"/>
      <c r="AN128" s="18"/>
      <c r="AO128" s="18"/>
      <c r="AP128" s="18"/>
      <c r="AQ128" s="18"/>
    </row>
    <row r="129" spans="1:43" s="36" customFormat="1" ht="17.25" hidden="1" customHeight="1">
      <c r="A129" s="186"/>
      <c r="D129" s="1125"/>
      <c r="E129" s="1162"/>
      <c r="F129" s="1164"/>
      <c r="G129" s="1162"/>
      <c r="H129" s="1167"/>
      <c r="I129" s="1169"/>
      <c r="J129" s="1172"/>
      <c r="K129" s="1156"/>
      <c r="L129" s="737"/>
      <c r="M129" s="737"/>
      <c r="N129" s="737"/>
      <c r="O129" s="737"/>
      <c r="P129" s="737"/>
      <c r="Q129" s="737"/>
      <c r="R129" s="737"/>
      <c r="W129" s="738"/>
      <c r="X129" s="18"/>
      <c r="Y129" s="18"/>
      <c r="Z129" s="18"/>
      <c r="AA129" s="18"/>
      <c r="AB129" s="18"/>
      <c r="AC129" s="18"/>
      <c r="AD129" s="18"/>
      <c r="AE129" s="18"/>
      <c r="AF129" s="18"/>
      <c r="AG129" s="18"/>
      <c r="AH129" s="18"/>
      <c r="AI129" s="18"/>
      <c r="AJ129" s="18"/>
      <c r="AK129" s="18"/>
      <c r="AL129" s="18"/>
      <c r="AM129" s="18"/>
      <c r="AN129" s="18"/>
      <c r="AO129" s="18"/>
      <c r="AP129" s="18"/>
      <c r="AQ129" s="18"/>
    </row>
    <row r="130" spans="1:43" s="36" customFormat="1" ht="17.25" hidden="1" customHeight="1">
      <c r="A130" s="186"/>
      <c r="D130" s="1125"/>
      <c r="E130" s="1162"/>
      <c r="F130" s="1165"/>
      <c r="G130" s="1162"/>
      <c r="H130" s="739"/>
      <c r="I130" s="740"/>
      <c r="J130" s="740"/>
      <c r="K130" s="740"/>
      <c r="L130" s="740"/>
      <c r="M130" s="740"/>
      <c r="N130" s="740"/>
      <c r="O130" s="740"/>
      <c r="P130" s="740"/>
      <c r="Q130" s="740"/>
      <c r="R130" s="740"/>
      <c r="S130" s="741"/>
      <c r="T130" s="741"/>
      <c r="U130" s="741"/>
      <c r="V130" s="741"/>
      <c r="W130" s="742"/>
      <c r="X130" s="18"/>
      <c r="Y130" s="18"/>
      <c r="Z130" s="18"/>
      <c r="AA130" s="18"/>
      <c r="AB130" s="18"/>
      <c r="AC130" s="18"/>
      <c r="AD130" s="18"/>
      <c r="AE130" s="18"/>
      <c r="AF130" s="18"/>
      <c r="AG130" s="18"/>
      <c r="AH130" s="18"/>
      <c r="AI130" s="18"/>
      <c r="AJ130" s="18"/>
      <c r="AK130" s="18"/>
      <c r="AL130" s="18"/>
      <c r="AM130" s="18"/>
      <c r="AN130" s="18"/>
      <c r="AO130" s="18"/>
      <c r="AP130" s="18"/>
      <c r="AQ130" s="18"/>
    </row>
    <row r="131" spans="1:43" s="36" customFormat="1" ht="17.25" hidden="1" customHeight="1">
      <c r="A131" s="186"/>
      <c r="C131" s="76"/>
      <c r="D131" s="1154">
        <v>3</v>
      </c>
      <c r="E131" s="1161" t="s">
        <v>273</v>
      </c>
      <c r="F131" s="1163" t="s">
        <v>52</v>
      </c>
      <c r="G131" s="1161"/>
      <c r="H131" s="1166"/>
      <c r="I131" s="1168"/>
      <c r="J131" s="1170"/>
      <c r="K131" s="1155"/>
      <c r="L131" s="1155"/>
      <c r="M131" s="1155"/>
      <c r="N131" s="1157"/>
      <c r="O131" s="1155"/>
      <c r="P131" s="1155"/>
      <c r="Q131" s="1155"/>
      <c r="R131" s="1160"/>
      <c r="S131" s="1155"/>
      <c r="T131" s="794"/>
      <c r="U131" s="794"/>
      <c r="V131" s="793"/>
      <c r="W131" s="736"/>
      <c r="X131" s="721"/>
      <c r="Y131" s="721"/>
      <c r="Z131" s="721"/>
      <c r="AA131" s="721"/>
      <c r="AB131" s="721"/>
      <c r="AC131" s="721" t="s">
        <v>274</v>
      </c>
      <c r="AD131" s="721" t="s">
        <v>275</v>
      </c>
      <c r="AE131" s="721" t="s">
        <v>276</v>
      </c>
      <c r="AF131" s="721" t="s">
        <v>277</v>
      </c>
      <c r="AG131" s="721"/>
      <c r="AH131" s="721" t="str">
        <f>IF($E$131=0,"",$E$131)</f>
        <v>Тариф на подключение (технологическое присоединение) к централизованной системе водоотведения</v>
      </c>
      <c r="AI131" s="721" t="str">
        <f>IF($G$131=0,"",$G$131)</f>
        <v/>
      </c>
      <c r="AJ131" s="721" t="str">
        <f>IF($J$131=0,"",$J$131)</f>
        <v/>
      </c>
      <c r="AK131" s="721" t="str">
        <f>IF($K$131="нет","без дифференциации",IF($N$131=0,"",$N$131))</f>
        <v/>
      </c>
      <c r="AL131" s="721" t="str">
        <f>IF($O$131="нет","без дифференциации",IF($R$131=0,"",$R$131))</f>
        <v/>
      </c>
      <c r="AM131" s="721" t="str">
        <f>IF($S$131="нет","без дифференциации",IF($V$131=0,"",$V$131))</f>
        <v/>
      </c>
      <c r="AN131" s="963">
        <f>$I$131</f>
        <v>0</v>
      </c>
      <c r="AO131" s="721" t="str">
        <f>$I$131&amp;"."&amp;$M$131</f>
        <v>.</v>
      </c>
      <c r="AP131" s="18" t="str">
        <f>$I$131&amp;"."&amp;$M$131&amp;"."&amp;$Q$131</f>
        <v>..</v>
      </c>
      <c r="AQ131" s="18" t="str">
        <f>$I$131&amp;"."&amp;$M$131&amp;"."&amp;$Q$131&amp;"."&amp;$U$131</f>
        <v>...</v>
      </c>
    </row>
    <row r="132" spans="1:43" s="36" customFormat="1" ht="17.25" hidden="1" customHeight="1">
      <c r="A132" s="186"/>
      <c r="D132" s="1154"/>
      <c r="E132" s="1161"/>
      <c r="F132" s="1164"/>
      <c r="G132" s="1161"/>
      <c r="H132" s="1167"/>
      <c r="I132" s="1169"/>
      <c r="J132" s="1171"/>
      <c r="K132" s="1156"/>
      <c r="L132" s="1156"/>
      <c r="M132" s="1156"/>
      <c r="N132" s="1158"/>
      <c r="O132" s="1156"/>
      <c r="P132" s="1156"/>
      <c r="Q132" s="1156"/>
      <c r="R132" s="1159"/>
      <c r="S132" s="1156"/>
      <c r="T132" s="737"/>
      <c r="U132" s="737"/>
      <c r="V132" s="737"/>
      <c r="W132" s="738"/>
      <c r="X132" s="18"/>
      <c r="Y132" s="18"/>
      <c r="Z132" s="18"/>
      <c r="AA132" s="18"/>
      <c r="AB132" s="18"/>
      <c r="AC132" s="18"/>
      <c r="AD132" s="18"/>
      <c r="AE132" s="18"/>
      <c r="AF132" s="18"/>
      <c r="AG132" s="18"/>
      <c r="AH132" s="18"/>
      <c r="AI132" s="18"/>
      <c r="AJ132" s="18"/>
      <c r="AK132" s="18"/>
      <c r="AL132" s="18"/>
      <c r="AM132" s="18"/>
      <c r="AN132" s="18"/>
      <c r="AO132" s="18"/>
      <c r="AP132" s="18"/>
      <c r="AQ132" s="18"/>
    </row>
    <row r="133" spans="1:43" s="36" customFormat="1" ht="17.25" hidden="1" customHeight="1">
      <c r="A133" s="186"/>
      <c r="D133" s="1125"/>
      <c r="E133" s="1162"/>
      <c r="F133" s="1164"/>
      <c r="G133" s="1162"/>
      <c r="H133" s="1167"/>
      <c r="I133" s="1169"/>
      <c r="J133" s="1172"/>
      <c r="K133" s="1156"/>
      <c r="L133" s="1156"/>
      <c r="M133" s="1156"/>
      <c r="N133" s="1159"/>
      <c r="O133" s="1156"/>
      <c r="P133" s="56"/>
      <c r="Q133" s="737"/>
      <c r="R133" s="737"/>
      <c r="W133" s="738"/>
      <c r="X133" s="18"/>
      <c r="Y133" s="18"/>
      <c r="Z133" s="18"/>
      <c r="AA133" s="18"/>
      <c r="AB133" s="18"/>
      <c r="AC133" s="18"/>
      <c r="AD133" s="18"/>
      <c r="AE133" s="18"/>
      <c r="AF133" s="18"/>
      <c r="AG133" s="18"/>
      <c r="AH133" s="18"/>
      <c r="AI133" s="18"/>
      <c r="AJ133" s="18"/>
      <c r="AK133" s="18"/>
      <c r="AL133" s="18"/>
      <c r="AM133" s="18"/>
      <c r="AN133" s="18"/>
      <c r="AO133" s="18"/>
      <c r="AP133" s="18"/>
      <c r="AQ133" s="18"/>
    </row>
    <row r="134" spans="1:43" s="36" customFormat="1" ht="17.25" hidden="1" customHeight="1">
      <c r="A134" s="186"/>
      <c r="D134" s="1125"/>
      <c r="E134" s="1162"/>
      <c r="F134" s="1164"/>
      <c r="G134" s="1162"/>
      <c r="H134" s="1167"/>
      <c r="I134" s="1169"/>
      <c r="J134" s="1172"/>
      <c r="K134" s="1156"/>
      <c r="L134" s="737"/>
      <c r="M134" s="737"/>
      <c r="N134" s="737"/>
      <c r="O134" s="737"/>
      <c r="P134" s="737"/>
      <c r="Q134" s="737"/>
      <c r="R134" s="737"/>
      <c r="W134" s="738"/>
      <c r="X134" s="18"/>
      <c r="Y134" s="18"/>
      <c r="Z134" s="18"/>
      <c r="AA134" s="18"/>
      <c r="AB134" s="18"/>
      <c r="AC134" s="18"/>
      <c r="AD134" s="18"/>
      <c r="AE134" s="18"/>
      <c r="AF134" s="18"/>
      <c r="AG134" s="18"/>
      <c r="AH134" s="18"/>
      <c r="AI134" s="18"/>
      <c r="AJ134" s="18"/>
      <c r="AK134" s="18"/>
      <c r="AL134" s="18"/>
      <c r="AM134" s="18"/>
      <c r="AN134" s="18"/>
      <c r="AO134" s="18"/>
      <c r="AP134" s="18"/>
      <c r="AQ134" s="18"/>
    </row>
    <row r="135" spans="1:43" s="36" customFormat="1" ht="17.25" hidden="1" customHeight="1">
      <c r="A135" s="186"/>
      <c r="D135" s="1125"/>
      <c r="E135" s="1162"/>
      <c r="F135" s="1165"/>
      <c r="G135" s="1162"/>
      <c r="H135" s="739"/>
      <c r="I135" s="740"/>
      <c r="J135" s="740"/>
      <c r="K135" s="740"/>
      <c r="L135" s="740"/>
      <c r="M135" s="740"/>
      <c r="N135" s="740"/>
      <c r="O135" s="740"/>
      <c r="P135" s="740"/>
      <c r="Q135" s="740"/>
      <c r="R135" s="740"/>
      <c r="S135" s="741"/>
      <c r="T135" s="741"/>
      <c r="U135" s="741"/>
      <c r="V135" s="741"/>
      <c r="W135" s="742"/>
      <c r="X135" s="18"/>
      <c r="Y135" s="18"/>
      <c r="Z135" s="18"/>
      <c r="AA135" s="18"/>
      <c r="AB135" s="18"/>
      <c r="AC135" s="18"/>
      <c r="AD135" s="18"/>
      <c r="AE135" s="18"/>
      <c r="AF135" s="18"/>
      <c r="AG135" s="18"/>
      <c r="AH135" s="18"/>
      <c r="AI135" s="18"/>
      <c r="AJ135" s="18"/>
      <c r="AK135" s="18"/>
      <c r="AL135" s="18"/>
      <c r="AM135" s="18"/>
      <c r="AN135" s="18"/>
      <c r="AO135" s="18"/>
      <c r="AP135" s="18"/>
      <c r="AQ135" s="18"/>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080D3-9E31-96A7-3DA6-EF4C453E053F}">
  <sheetPr>
    <tabColor rgb="FFCCCCFF"/>
  </sheetPr>
  <dimension ref="A1:BL49"/>
  <sheetViews>
    <sheetView showGridLines="0" topLeftCell="C3" zoomScale="90" workbookViewId="0"/>
  </sheetViews>
  <sheetFormatPr defaultColWidth="9.140625" defaultRowHeight="11.25" customHeight="1"/>
  <cols>
    <col min="1" max="2" width="9.140625" hidden="1"/>
    <col min="3" max="4" width="3.7109375" customWidth="1"/>
    <col min="5" max="6" width="16" customWidth="1"/>
    <col min="7" max="7" width="11.5703125" customWidth="1"/>
    <col min="8" max="9" width="3.7109375" customWidth="1"/>
    <col min="10" max="10" width="13.140625" customWidth="1"/>
    <col min="11" max="11" width="0.28515625" customWidth="1"/>
    <col min="12" max="13" width="10.7109375" customWidth="1"/>
    <col min="14" max="15" width="3.7109375" customWidth="1"/>
    <col min="16" max="16" width="19.7109375" customWidth="1"/>
    <col min="17" max="17" width="0.28515625" customWidth="1"/>
    <col min="18" max="19" width="10.7109375" customWidth="1"/>
    <col min="20" max="21" width="3.7109375" customWidth="1"/>
    <col min="22" max="22" width="25.7109375" customWidth="1"/>
    <col min="23" max="23" width="0.28515625" customWidth="1"/>
    <col min="24" max="25" width="10.7109375" customWidth="1"/>
    <col min="26" max="27" width="3.7109375" customWidth="1"/>
    <col min="28" max="28" width="16.42578125" customWidth="1"/>
    <col min="29" max="29" width="0.28515625" customWidth="1"/>
    <col min="30" max="31" width="10.7109375" customWidth="1"/>
    <col min="32" max="33" width="3.7109375" customWidth="1"/>
    <col min="34" max="34" width="8.7109375" customWidth="1"/>
    <col min="35" max="35" width="21.7109375" customWidth="1"/>
    <col min="37" max="37" width="9.140625" style="47"/>
  </cols>
  <sheetData>
    <row r="1" spans="1:64" s="102"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row>
    <row r="2" spans="1:64" s="849" customFormat="1" ht="11.25" hidden="1" customHeight="1">
      <c r="L2" s="849" t="s">
        <v>278</v>
      </c>
      <c r="M2" s="849" t="s">
        <v>279</v>
      </c>
      <c r="R2" s="849" t="s">
        <v>280</v>
      </c>
      <c r="S2" s="849" t="s">
        <v>279</v>
      </c>
      <c r="X2" s="849" t="s">
        <v>278</v>
      </c>
      <c r="Y2" s="849" t="s">
        <v>279</v>
      </c>
      <c r="AD2" s="849" t="s">
        <v>278</v>
      </c>
      <c r="AE2" s="849" t="s">
        <v>279</v>
      </c>
      <c r="AJ2" s="865"/>
      <c r="AK2" s="865"/>
      <c r="AL2" s="865"/>
      <c r="AM2" s="865"/>
      <c r="AN2" s="865"/>
      <c r="AO2" s="865"/>
      <c r="AP2" s="865"/>
      <c r="AQ2" s="865"/>
      <c r="AR2" s="865"/>
      <c r="AS2" s="865"/>
      <c r="AT2" s="865"/>
      <c r="AU2" s="865"/>
      <c r="AV2" s="865"/>
      <c r="AW2" s="865"/>
      <c r="AX2" s="865"/>
      <c r="AY2" s="865"/>
      <c r="AZ2" s="865"/>
      <c r="BA2" s="865"/>
      <c r="BB2" s="865"/>
      <c r="BC2" s="865"/>
      <c r="BD2" s="865"/>
      <c r="BE2" s="865"/>
      <c r="BF2" s="865"/>
      <c r="BG2" s="865"/>
      <c r="BH2" s="865"/>
      <c r="BI2" s="865"/>
      <c r="BJ2" s="865"/>
      <c r="BK2" s="865"/>
      <c r="BL2" s="865"/>
    </row>
    <row r="3" spans="1:64" s="850" customFormat="1" ht="11.25" customHeight="1">
      <c r="AJ3"/>
      <c r="AK3" s="47"/>
      <c r="AL3"/>
      <c r="AM3"/>
      <c r="AN3"/>
      <c r="AO3"/>
      <c r="AP3"/>
      <c r="AQ3"/>
      <c r="AR3"/>
      <c r="AS3"/>
      <c r="AT3"/>
      <c r="AU3"/>
      <c r="AV3"/>
      <c r="AW3"/>
      <c r="AX3"/>
      <c r="AY3"/>
      <c r="AZ3"/>
      <c r="BA3"/>
      <c r="BB3"/>
      <c r="BC3"/>
      <c r="BD3"/>
      <c r="BE3"/>
      <c r="BF3"/>
      <c r="BG3"/>
      <c r="BH3"/>
      <c r="BI3"/>
      <c r="BJ3"/>
      <c r="BK3"/>
      <c r="BL3"/>
    </row>
    <row r="4" spans="1:64" s="46" customFormat="1" ht="33" customHeight="1">
      <c r="A4" s="9"/>
      <c r="B4" s="12"/>
      <c r="C4" s="76"/>
      <c r="D4" s="1209" t="s">
        <v>281</v>
      </c>
      <c r="E4" s="1209"/>
      <c r="F4" s="1209"/>
      <c r="G4" s="1209"/>
      <c r="H4" s="1209"/>
      <c r="I4" s="1209"/>
      <c r="J4" s="1209"/>
      <c r="K4" s="394"/>
      <c r="T4" s="851"/>
      <c r="AJ4" s="866"/>
      <c r="AK4" s="867"/>
      <c r="AL4" s="866"/>
      <c r="AM4" s="866"/>
      <c r="AN4" s="866"/>
      <c r="AO4" s="866"/>
      <c r="AP4" s="866"/>
      <c r="AQ4" s="866"/>
      <c r="AR4" s="866"/>
      <c r="AS4" s="866"/>
      <c r="AT4" s="866"/>
      <c r="AU4" s="866"/>
      <c r="AV4" s="866"/>
      <c r="AW4" s="866"/>
      <c r="AX4" s="866"/>
      <c r="AY4" s="866"/>
      <c r="AZ4" s="866"/>
      <c r="BA4" s="866"/>
      <c r="BB4" s="866"/>
      <c r="BC4" s="866"/>
      <c r="BD4" s="866"/>
      <c r="BE4" s="866"/>
      <c r="BF4" s="866"/>
      <c r="BG4" s="866"/>
      <c r="BH4" s="866"/>
      <c r="BI4" s="866"/>
      <c r="BJ4" s="866"/>
      <c r="BK4" s="866"/>
      <c r="BL4" s="866"/>
    </row>
    <row r="5" spans="1:64" s="46" customFormat="1" ht="14.25" customHeight="1">
      <c r="A5" s="9"/>
      <c r="B5" s="12"/>
      <c r="C5" s="76"/>
      <c r="D5" s="1194" t="str">
        <f>IF(org=0,"Не определено",org)</f>
        <v>АО "ХТК"</v>
      </c>
      <c r="E5" s="1194"/>
      <c r="F5" s="1194"/>
      <c r="G5" s="1194"/>
      <c r="H5" s="1194"/>
      <c r="I5" s="1194"/>
      <c r="J5" s="1194"/>
      <c r="K5" s="394"/>
      <c r="T5" s="851"/>
      <c r="AJ5" s="866"/>
      <c r="AK5" s="867"/>
      <c r="AL5" s="866"/>
      <c r="AM5" s="866"/>
      <c r="AN5" s="866"/>
      <c r="AO5" s="866"/>
      <c r="AP5" s="866"/>
      <c r="AQ5" s="866"/>
      <c r="AR5" s="866"/>
      <c r="AS5" s="866"/>
      <c r="AT5" s="866"/>
      <c r="AU5" s="866"/>
      <c r="AV5" s="866"/>
      <c r="AW5" s="866"/>
      <c r="AX5" s="866"/>
      <c r="AY5" s="866"/>
      <c r="AZ5" s="866"/>
      <c r="BA5" s="866"/>
      <c r="BB5" s="866"/>
      <c r="BC5" s="866"/>
      <c r="BD5" s="866"/>
      <c r="BE5" s="866"/>
      <c r="BF5" s="866"/>
      <c r="BG5" s="866"/>
      <c r="BH5" s="866"/>
      <c r="BI5" s="866"/>
      <c r="BJ5" s="866"/>
      <c r="BK5" s="866"/>
      <c r="BL5" s="866"/>
    </row>
    <row r="6" spans="1:64" s="46" customFormat="1" ht="14.25" customHeight="1">
      <c r="A6" s="9"/>
      <c r="B6" s="12"/>
      <c r="C6" s="76"/>
      <c r="D6" s="394"/>
      <c r="E6" s="394"/>
      <c r="F6" s="394"/>
      <c r="G6" s="394"/>
      <c r="H6" s="394"/>
      <c r="I6" s="394"/>
      <c r="J6" s="394"/>
      <c r="K6" s="394"/>
      <c r="T6" s="851"/>
      <c r="AJ6" s="866"/>
      <c r="AK6" s="867"/>
      <c r="AL6" s="866"/>
      <c r="AM6" s="866"/>
      <c r="AN6" s="866"/>
      <c r="AO6" s="866"/>
      <c r="AP6" s="866"/>
      <c r="AQ6" s="866"/>
      <c r="AR6" s="866"/>
      <c r="AS6" s="866"/>
      <c r="AT6" s="866"/>
      <c r="AU6" s="866"/>
      <c r="AV6" s="866"/>
      <c r="AW6" s="866"/>
      <c r="AX6" s="866"/>
      <c r="AY6" s="866"/>
      <c r="AZ6" s="866"/>
      <c r="BA6" s="866"/>
      <c r="BB6" s="866"/>
      <c r="BC6" s="866"/>
      <c r="BD6" s="866"/>
      <c r="BE6" s="866"/>
      <c r="BF6" s="866"/>
      <c r="BG6" s="866"/>
      <c r="BH6" s="866"/>
      <c r="BI6" s="866"/>
      <c r="BJ6" s="866"/>
      <c r="BK6" s="866"/>
      <c r="BL6" s="866"/>
    </row>
    <row r="7" spans="1:64" s="102" customFormat="1" ht="0.75"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row>
    <row r="8" spans="1:64" ht="31.5" customHeight="1">
      <c r="D8" s="1146" t="s">
        <v>84</v>
      </c>
      <c r="E8" s="1146" t="s">
        <v>101</v>
      </c>
      <c r="F8" s="1210" t="s">
        <v>123</v>
      </c>
      <c r="G8" s="1211"/>
      <c r="H8" s="1210" t="s">
        <v>84</v>
      </c>
      <c r="I8" s="1211"/>
      <c r="J8" s="1146" t="s">
        <v>124</v>
      </c>
      <c r="K8" s="852"/>
      <c r="L8" s="1193" t="s">
        <v>282</v>
      </c>
      <c r="M8" s="1193"/>
      <c r="N8" s="1193"/>
      <c r="O8" s="1193"/>
      <c r="P8" s="1193"/>
      <c r="Q8" s="853"/>
      <c r="R8" s="1117" t="s">
        <v>283</v>
      </c>
      <c r="S8" s="1122"/>
      <c r="T8" s="1122"/>
      <c r="U8" s="1122"/>
      <c r="V8" s="1122"/>
      <c r="W8" s="853"/>
      <c r="X8" s="1146" t="s">
        <v>284</v>
      </c>
      <c r="Y8" s="1146"/>
      <c r="Z8" s="1146"/>
      <c r="AA8" s="1146"/>
      <c r="AB8" s="1146"/>
      <c r="AC8" s="332"/>
      <c r="AD8" s="1146" t="s">
        <v>285</v>
      </c>
      <c r="AE8" s="1146"/>
      <c r="AF8" s="1146"/>
      <c r="AG8" s="1146"/>
      <c r="AH8" s="1117"/>
      <c r="AI8" s="1146" t="s">
        <v>286</v>
      </c>
    </row>
    <row r="9" spans="1:64" ht="22.5" customHeight="1">
      <c r="D9" s="1146"/>
      <c r="E9" s="1146"/>
      <c r="F9" s="1193" t="s">
        <v>85</v>
      </c>
      <c r="G9" s="1193" t="s">
        <v>129</v>
      </c>
      <c r="H9" s="1212"/>
      <c r="I9" s="1213"/>
      <c r="J9" s="1117"/>
      <c r="K9" s="854"/>
      <c r="L9" s="1146" t="s">
        <v>287</v>
      </c>
      <c r="M9" s="1117"/>
      <c r="N9" s="1210" t="s">
        <v>84</v>
      </c>
      <c r="O9" s="1211"/>
      <c r="P9" s="1146" t="s">
        <v>130</v>
      </c>
      <c r="Q9" s="852"/>
      <c r="R9" s="1146" t="s">
        <v>287</v>
      </c>
      <c r="S9" s="1117"/>
      <c r="T9" s="1210" t="s">
        <v>84</v>
      </c>
      <c r="U9" s="1211"/>
      <c r="V9" s="1146" t="s">
        <v>130</v>
      </c>
      <c r="W9" s="852"/>
      <c r="X9" s="1146" t="s">
        <v>287</v>
      </c>
      <c r="Y9" s="1117"/>
      <c r="Z9" s="1210" t="s">
        <v>84</v>
      </c>
      <c r="AA9" s="1211"/>
      <c r="AB9" s="1146" t="s">
        <v>288</v>
      </c>
      <c r="AC9" s="852"/>
      <c r="AD9" s="1146" t="s">
        <v>287</v>
      </c>
      <c r="AE9" s="1117"/>
      <c r="AF9" s="1210" t="s">
        <v>84</v>
      </c>
      <c r="AG9" s="1211"/>
      <c r="AH9" s="1117" t="s">
        <v>288</v>
      </c>
      <c r="AI9" s="1146"/>
    </row>
    <row r="10" spans="1:64" ht="22.5" customHeight="1">
      <c r="D10" s="1193"/>
      <c r="E10" s="1193"/>
      <c r="F10" s="1214"/>
      <c r="G10" s="1214"/>
      <c r="H10" s="1215"/>
      <c r="I10" s="1216"/>
      <c r="J10" s="1210"/>
      <c r="K10" s="854"/>
      <c r="L10" s="332" t="s">
        <v>289</v>
      </c>
      <c r="M10" s="853" t="s">
        <v>290</v>
      </c>
      <c r="N10" s="1212"/>
      <c r="O10" s="1213"/>
      <c r="P10" s="1193"/>
      <c r="Q10" s="852"/>
      <c r="R10" s="332" t="s">
        <v>289</v>
      </c>
      <c r="S10" s="853" t="s">
        <v>290</v>
      </c>
      <c r="T10" s="1212"/>
      <c r="U10" s="1213"/>
      <c r="V10" s="1193"/>
      <c r="W10" s="852"/>
      <c r="X10" s="332" t="s">
        <v>289</v>
      </c>
      <c r="Y10" s="853" t="s">
        <v>290</v>
      </c>
      <c r="Z10" s="1212"/>
      <c r="AA10" s="1213"/>
      <c r="AB10" s="1193"/>
      <c r="AC10" s="852"/>
      <c r="AD10" s="332" t="s">
        <v>289</v>
      </c>
      <c r="AE10" s="853" t="s">
        <v>290</v>
      </c>
      <c r="AF10" s="1212"/>
      <c r="AG10" s="1213"/>
      <c r="AH10" s="1210"/>
      <c r="AI10" s="1193"/>
      <c r="AK10" s="35" t="s">
        <v>291</v>
      </c>
      <c r="AL10" s="35" t="s">
        <v>131</v>
      </c>
    </row>
    <row r="11" spans="1:64" ht="14.25" customHeight="1">
      <c r="D11" s="1201" t="s">
        <v>105</v>
      </c>
      <c r="E11" s="1197" t="s">
        <v>292</v>
      </c>
      <c r="F11" s="1197" t="s">
        <v>293</v>
      </c>
      <c r="G11" s="1203" t="s">
        <v>52</v>
      </c>
      <c r="H11" s="875"/>
      <c r="I11" s="1199"/>
      <c r="J11" s="1170"/>
      <c r="K11" s="823"/>
      <c r="L11" s="1155"/>
      <c r="M11" s="1155"/>
      <c r="N11" s="869"/>
      <c r="O11" s="1155"/>
      <c r="P11" s="1170"/>
      <c r="Q11" s="823"/>
      <c r="R11" s="1155"/>
      <c r="S11" s="1155"/>
      <c r="T11" s="870"/>
      <c r="U11" s="1155"/>
      <c r="V11" s="1170"/>
      <c r="W11" s="794"/>
      <c r="X11" s="1155"/>
      <c r="Y11" s="1155"/>
      <c r="Z11" s="869"/>
      <c r="AA11" s="1155"/>
      <c r="AB11" s="1170"/>
      <c r="AC11" s="871"/>
      <c r="AD11" s="1155"/>
      <c r="AE11" s="1155"/>
      <c r="AF11" s="794"/>
      <c r="AG11" s="794"/>
      <c r="AH11" s="869"/>
      <c r="AI11" s="736"/>
    </row>
    <row r="12" spans="1:64" ht="14.25" customHeight="1">
      <c r="D12" s="1201"/>
      <c r="E12" s="1197"/>
      <c r="F12" s="1197"/>
      <c r="G12" s="1204"/>
      <c r="H12" s="876"/>
      <c r="I12" s="1200"/>
      <c r="J12" s="1171"/>
      <c r="K12" s="334"/>
      <c r="L12" s="1156"/>
      <c r="M12" s="1156"/>
      <c r="N12" s="34"/>
      <c r="O12" s="1156"/>
      <c r="P12" s="1171"/>
      <c r="Q12" s="374"/>
      <c r="R12" s="1156"/>
      <c r="S12" s="1156"/>
      <c r="T12" s="872"/>
      <c r="U12" s="1156"/>
      <c r="V12" s="1171"/>
      <c r="W12" s="56"/>
      <c r="X12" s="1156"/>
      <c r="Y12" s="1156"/>
      <c r="Z12" s="34"/>
      <c r="AA12" s="1156"/>
      <c r="AB12" s="1171"/>
      <c r="AC12" s="334"/>
      <c r="AD12" s="1156"/>
      <c r="AE12" s="1156"/>
      <c r="AF12" s="737"/>
      <c r="AG12" s="737"/>
      <c r="AH12" s="1195"/>
      <c r="AI12" s="1196"/>
    </row>
    <row r="13" spans="1:64" ht="14.25" customHeight="1">
      <c r="D13" s="1201"/>
      <c r="E13" s="1197"/>
      <c r="F13" s="1197"/>
      <c r="G13" s="1204"/>
      <c r="H13" s="876"/>
      <c r="I13" s="1200"/>
      <c r="J13" s="1171"/>
      <c r="K13" s="334"/>
      <c r="L13" s="1156"/>
      <c r="M13" s="1156"/>
      <c r="N13" s="34"/>
      <c r="O13" s="1156"/>
      <c r="P13" s="1171"/>
      <c r="Q13" s="374"/>
      <c r="R13" s="1156"/>
      <c r="S13" s="1156"/>
      <c r="T13" s="872"/>
      <c r="U13" s="1156"/>
      <c r="V13" s="1171"/>
      <c r="W13" s="56"/>
      <c r="X13" s="1156"/>
      <c r="Y13" s="1156"/>
      <c r="Z13" s="56"/>
      <c r="AA13" s="737"/>
      <c r="AB13" s="1195"/>
      <c r="AC13" s="1195"/>
      <c r="AD13" s="1195"/>
      <c r="AE13" s="1195"/>
      <c r="AF13" s="1195"/>
      <c r="AG13" s="1195"/>
      <c r="AH13" s="1195"/>
      <c r="AI13" s="1196"/>
    </row>
    <row r="14" spans="1:64" ht="14.25" customHeight="1">
      <c r="D14" s="1201"/>
      <c r="E14" s="1197"/>
      <c r="F14" s="1197"/>
      <c r="G14" s="1204"/>
      <c r="H14" s="876"/>
      <c r="I14" s="1200"/>
      <c r="J14" s="1171"/>
      <c r="K14" s="334"/>
      <c r="L14" s="1156"/>
      <c r="M14" s="1156"/>
      <c r="N14" s="34"/>
      <c r="O14" s="1156"/>
      <c r="P14" s="1171"/>
      <c r="Q14" s="374"/>
      <c r="R14" s="1156"/>
      <c r="S14" s="1156"/>
      <c r="T14" s="51"/>
      <c r="U14" s="873"/>
      <c r="V14" s="1195"/>
      <c r="W14" s="1195"/>
      <c r="X14" s="1195"/>
      <c r="Y14" s="1195"/>
      <c r="Z14" s="1195"/>
      <c r="AA14" s="1195"/>
      <c r="AB14" s="1195"/>
      <c r="AC14" s="1195"/>
      <c r="AD14" s="1195"/>
      <c r="AE14" s="1195"/>
      <c r="AF14" s="1195"/>
      <c r="AG14" s="1195"/>
      <c r="AH14" s="1195"/>
      <c r="AI14" s="1196"/>
    </row>
    <row r="15" spans="1:64" ht="11.25" customHeight="1">
      <c r="D15" s="1201"/>
      <c r="E15" s="1197"/>
      <c r="F15" s="1197"/>
      <c r="G15" s="1204"/>
      <c r="H15" s="877"/>
      <c r="I15" s="1200"/>
      <c r="J15" s="1171"/>
      <c r="K15" s="334"/>
      <c r="L15" s="1156"/>
      <c r="M15" s="1156"/>
      <c r="N15" s="737"/>
      <c r="O15" s="737"/>
      <c r="P15" s="1195"/>
      <c r="Q15" s="1195"/>
      <c r="R15" s="1195"/>
      <c r="S15" s="1195"/>
      <c r="T15" s="1195"/>
      <c r="U15" s="1195"/>
      <c r="V15" s="1195"/>
      <c r="W15" s="1195"/>
      <c r="X15" s="1195"/>
      <c r="Y15" s="1195"/>
      <c r="Z15" s="1195"/>
      <c r="AA15" s="1195"/>
      <c r="AB15" s="1195"/>
      <c r="AC15" s="1195"/>
      <c r="AD15" s="1195"/>
      <c r="AE15" s="1195"/>
      <c r="AF15" s="1195"/>
      <c r="AG15" s="1195"/>
      <c r="AH15" s="1195"/>
      <c r="AI15" s="1196"/>
    </row>
    <row r="16" spans="1:64" s="850" customFormat="1" ht="11.25" customHeight="1">
      <c r="D16" s="1207"/>
      <c r="E16" s="1208"/>
      <c r="F16" s="1198"/>
      <c r="G16" s="1132"/>
      <c r="H16" s="874"/>
      <c r="I16" s="878"/>
      <c r="J16" s="1205"/>
      <c r="K16" s="1205"/>
      <c r="L16" s="1205"/>
      <c r="M16" s="1205"/>
      <c r="N16" s="1205"/>
      <c r="O16" s="1205"/>
      <c r="P16" s="1205"/>
      <c r="Q16" s="1205"/>
      <c r="R16" s="1205"/>
      <c r="S16" s="1205"/>
      <c r="T16" s="1205"/>
      <c r="U16" s="1205"/>
      <c r="V16" s="1205"/>
      <c r="W16" s="1205"/>
      <c r="X16" s="1205"/>
      <c r="Y16" s="1205"/>
      <c r="Z16" s="1205"/>
      <c r="AA16" s="1205"/>
      <c r="AB16" s="1205"/>
      <c r="AC16" s="1205"/>
      <c r="AD16" s="1205"/>
      <c r="AE16" s="1205"/>
      <c r="AF16" s="1205"/>
      <c r="AG16" s="1205"/>
      <c r="AH16" s="1205"/>
      <c r="AI16" s="1206"/>
      <c r="AJ16"/>
      <c r="AK16" s="47"/>
      <c r="AL16"/>
      <c r="AM16"/>
      <c r="AN16"/>
      <c r="AO16"/>
      <c r="AP16"/>
      <c r="AQ16"/>
      <c r="AR16"/>
      <c r="AS16"/>
      <c r="AT16"/>
      <c r="AU16"/>
      <c r="AV16"/>
      <c r="AW16"/>
      <c r="AX16"/>
      <c r="AY16"/>
      <c r="AZ16"/>
      <c r="BA16"/>
      <c r="BB16"/>
      <c r="BC16"/>
      <c r="BD16"/>
      <c r="BE16"/>
      <c r="BF16"/>
      <c r="BG16"/>
      <c r="BH16"/>
      <c r="BI16"/>
      <c r="BJ16"/>
      <c r="BK16"/>
      <c r="BL16"/>
    </row>
    <row r="17" spans="4:64" ht="14.25" customHeight="1">
      <c r="D17" s="1201" t="s">
        <v>106</v>
      </c>
      <c r="E17" s="1197" t="s">
        <v>292</v>
      </c>
      <c r="F17" s="1197" t="s">
        <v>294</v>
      </c>
      <c r="G17" s="1203" t="s">
        <v>52</v>
      </c>
      <c r="H17" s="875"/>
      <c r="I17" s="1199"/>
      <c r="J17" s="1170"/>
      <c r="K17" s="823"/>
      <c r="L17" s="1155"/>
      <c r="M17" s="1155"/>
      <c r="N17" s="869"/>
      <c r="O17" s="1155"/>
      <c r="P17" s="1170"/>
      <c r="Q17" s="823"/>
      <c r="R17" s="1155"/>
      <c r="S17" s="1155"/>
      <c r="T17" s="870"/>
      <c r="U17" s="1155"/>
      <c r="V17" s="1170"/>
      <c r="W17" s="794"/>
      <c r="X17" s="1155"/>
      <c r="Y17" s="1155"/>
      <c r="Z17" s="869"/>
      <c r="AA17" s="1155"/>
      <c r="AB17" s="1170"/>
      <c r="AC17" s="871"/>
      <c r="AD17" s="1155"/>
      <c r="AE17" s="1155"/>
      <c r="AF17" s="794"/>
      <c r="AG17" s="794"/>
      <c r="AH17" s="869"/>
      <c r="AI17" s="736"/>
    </row>
    <row r="18" spans="4:64" ht="14.25" customHeight="1">
      <c r="D18" s="1201"/>
      <c r="E18" s="1197"/>
      <c r="F18" s="1197"/>
      <c r="G18" s="1204"/>
      <c r="H18" s="876"/>
      <c r="I18" s="1200"/>
      <c r="J18" s="1171"/>
      <c r="K18" s="334"/>
      <c r="L18" s="1156"/>
      <c r="M18" s="1156"/>
      <c r="N18" s="34"/>
      <c r="O18" s="1156"/>
      <c r="P18" s="1171"/>
      <c r="Q18" s="374"/>
      <c r="R18" s="1156"/>
      <c r="S18" s="1156"/>
      <c r="T18" s="872"/>
      <c r="U18" s="1156"/>
      <c r="V18" s="1171"/>
      <c r="W18" s="56"/>
      <c r="X18" s="1156"/>
      <c r="Y18" s="1156"/>
      <c r="Z18" s="34"/>
      <c r="AA18" s="1156"/>
      <c r="AB18" s="1171"/>
      <c r="AC18" s="334"/>
      <c r="AD18" s="1156"/>
      <c r="AE18" s="1156"/>
      <c r="AF18" s="737"/>
      <c r="AG18" s="737"/>
      <c r="AH18" s="1195"/>
      <c r="AI18" s="1196"/>
    </row>
    <row r="19" spans="4:64" ht="14.25" customHeight="1">
      <c r="D19" s="1201"/>
      <c r="E19" s="1197"/>
      <c r="F19" s="1197"/>
      <c r="G19" s="1204"/>
      <c r="H19" s="876"/>
      <c r="I19" s="1200"/>
      <c r="J19" s="1171"/>
      <c r="K19" s="334"/>
      <c r="L19" s="1156"/>
      <c r="M19" s="1156"/>
      <c r="N19" s="34"/>
      <c r="O19" s="1156"/>
      <c r="P19" s="1171"/>
      <c r="Q19" s="374"/>
      <c r="R19" s="1156"/>
      <c r="S19" s="1156"/>
      <c r="T19" s="872"/>
      <c r="U19" s="1156"/>
      <c r="V19" s="1171"/>
      <c r="W19" s="56"/>
      <c r="X19" s="1156"/>
      <c r="Y19" s="1156"/>
      <c r="Z19" s="56"/>
      <c r="AA19" s="737"/>
      <c r="AB19" s="1195"/>
      <c r="AC19" s="1195"/>
      <c r="AD19" s="1195"/>
      <c r="AE19" s="1195"/>
      <c r="AF19" s="1195"/>
      <c r="AG19" s="1195"/>
      <c r="AH19" s="1195"/>
      <c r="AI19" s="1196"/>
    </row>
    <row r="20" spans="4:64" ht="14.25" customHeight="1">
      <c r="D20" s="1201"/>
      <c r="E20" s="1197"/>
      <c r="F20" s="1197"/>
      <c r="G20" s="1204"/>
      <c r="H20" s="876"/>
      <c r="I20" s="1200"/>
      <c r="J20" s="1171"/>
      <c r="K20" s="334"/>
      <c r="L20" s="1156"/>
      <c r="M20" s="1156"/>
      <c r="N20" s="34"/>
      <c r="O20" s="1156"/>
      <c r="P20" s="1171"/>
      <c r="Q20" s="374"/>
      <c r="R20" s="1156"/>
      <c r="S20" s="1156"/>
      <c r="T20" s="51"/>
      <c r="U20" s="873"/>
      <c r="V20" s="1195"/>
      <c r="W20" s="1195"/>
      <c r="X20" s="1195"/>
      <c r="Y20" s="1195"/>
      <c r="Z20" s="1195"/>
      <c r="AA20" s="1195"/>
      <c r="AB20" s="1195"/>
      <c r="AC20" s="1195"/>
      <c r="AD20" s="1195"/>
      <c r="AE20" s="1195"/>
      <c r="AF20" s="1195"/>
      <c r="AG20" s="1195"/>
      <c r="AH20" s="1195"/>
      <c r="AI20" s="1196"/>
    </row>
    <row r="21" spans="4:64" ht="11.25" customHeight="1">
      <c r="D21" s="1201"/>
      <c r="E21" s="1197"/>
      <c r="F21" s="1197"/>
      <c r="G21" s="1204"/>
      <c r="H21" s="877"/>
      <c r="I21" s="1200"/>
      <c r="J21" s="1171"/>
      <c r="K21" s="334"/>
      <c r="L21" s="1156"/>
      <c r="M21" s="1156"/>
      <c r="N21" s="737"/>
      <c r="O21" s="737"/>
      <c r="P21" s="1195"/>
      <c r="Q21" s="1195"/>
      <c r="R21" s="1195"/>
      <c r="S21" s="1195"/>
      <c r="T21" s="1195"/>
      <c r="U21" s="1195"/>
      <c r="V21" s="1195"/>
      <c r="W21" s="1195"/>
      <c r="X21" s="1195"/>
      <c r="Y21" s="1195"/>
      <c r="Z21" s="1195"/>
      <c r="AA21" s="1195"/>
      <c r="AB21" s="1195"/>
      <c r="AC21" s="1195"/>
      <c r="AD21" s="1195"/>
      <c r="AE21" s="1195"/>
      <c r="AF21" s="1195"/>
      <c r="AG21" s="1195"/>
      <c r="AH21" s="1195"/>
      <c r="AI21" s="1196"/>
    </row>
    <row r="22" spans="4:64" s="850" customFormat="1" ht="11.25" customHeight="1">
      <c r="D22" s="1207"/>
      <c r="E22" s="1208"/>
      <c r="F22" s="1198"/>
      <c r="G22" s="1132"/>
      <c r="H22" s="874"/>
      <c r="I22" s="878"/>
      <c r="J22" s="1205"/>
      <c r="K22" s="1205"/>
      <c r="L22" s="1205"/>
      <c r="M22" s="1205"/>
      <c r="N22" s="1205"/>
      <c r="O22" s="1205"/>
      <c r="P22" s="1205"/>
      <c r="Q22" s="1205"/>
      <c r="R22" s="1205"/>
      <c r="S22" s="1205"/>
      <c r="T22" s="1205"/>
      <c r="U22" s="1205"/>
      <c r="V22" s="1205"/>
      <c r="W22" s="1205"/>
      <c r="X22" s="1205"/>
      <c r="Y22" s="1205"/>
      <c r="Z22" s="1205"/>
      <c r="AA22" s="1205"/>
      <c r="AB22" s="1205"/>
      <c r="AC22" s="1205"/>
      <c r="AD22" s="1205"/>
      <c r="AE22" s="1205"/>
      <c r="AF22" s="1205"/>
      <c r="AG22" s="1205"/>
      <c r="AH22" s="1205"/>
      <c r="AI22" s="1206"/>
      <c r="AJ22"/>
      <c r="AK22" s="47"/>
      <c r="AL22"/>
      <c r="AM22"/>
      <c r="AN22"/>
      <c r="AO22"/>
      <c r="AP22"/>
      <c r="AQ22"/>
      <c r="AR22"/>
      <c r="AS22"/>
      <c r="AT22"/>
      <c r="AU22"/>
      <c r="AV22"/>
      <c r="AW22"/>
      <c r="AX22"/>
      <c r="AY22"/>
      <c r="AZ22"/>
      <c r="BA22"/>
      <c r="BB22"/>
      <c r="BC22"/>
      <c r="BD22"/>
      <c r="BE22"/>
      <c r="BF22"/>
      <c r="BG22"/>
      <c r="BH22"/>
      <c r="BI22"/>
      <c r="BJ22"/>
      <c r="BK22"/>
      <c r="BL22"/>
    </row>
    <row r="23" spans="4:64" ht="14.25" customHeight="1">
      <c r="D23" s="1201" t="s">
        <v>86</v>
      </c>
      <c r="E23" s="1197" t="s">
        <v>292</v>
      </c>
      <c r="F23" s="1197" t="s">
        <v>295</v>
      </c>
      <c r="G23" s="1203" t="s">
        <v>52</v>
      </c>
      <c r="H23" s="875"/>
      <c r="I23" s="1199"/>
      <c r="J23" s="1170"/>
      <c r="K23" s="823"/>
      <c r="L23" s="1155"/>
      <c r="M23" s="1155"/>
      <c r="N23" s="869"/>
      <c r="O23" s="1155"/>
      <c r="P23" s="1170"/>
      <c r="Q23" s="823"/>
      <c r="R23" s="1155"/>
      <c r="S23" s="1155"/>
      <c r="T23" s="870"/>
      <c r="U23" s="1155"/>
      <c r="V23" s="1170"/>
      <c r="W23" s="794"/>
      <c r="X23" s="1155"/>
      <c r="Y23" s="1155"/>
      <c r="Z23" s="869"/>
      <c r="AA23" s="1155"/>
      <c r="AB23" s="1170"/>
      <c r="AC23" s="871"/>
      <c r="AD23" s="1155"/>
      <c r="AE23" s="1155"/>
      <c r="AF23" s="794"/>
      <c r="AG23" s="794"/>
      <c r="AH23" s="869"/>
      <c r="AI23" s="736"/>
      <c r="AK23" s="47" t="s">
        <v>94</v>
      </c>
    </row>
    <row r="24" spans="4:64" ht="14.25" customHeight="1">
      <c r="D24" s="1201"/>
      <c r="E24" s="1197"/>
      <c r="F24" s="1197"/>
      <c r="G24" s="1204"/>
      <c r="H24" s="876"/>
      <c r="I24" s="1200"/>
      <c r="J24" s="1171"/>
      <c r="K24" s="334"/>
      <c r="L24" s="1156"/>
      <c r="M24" s="1156"/>
      <c r="N24" s="34"/>
      <c r="O24" s="1156"/>
      <c r="P24" s="1171"/>
      <c r="Q24" s="374"/>
      <c r="R24" s="1156"/>
      <c r="S24" s="1156"/>
      <c r="T24" s="872"/>
      <c r="U24" s="1156"/>
      <c r="V24" s="1171"/>
      <c r="W24" s="56"/>
      <c r="X24" s="1156"/>
      <c r="Y24" s="1156"/>
      <c r="Z24" s="34"/>
      <c r="AA24" s="1156"/>
      <c r="AB24" s="1171"/>
      <c r="AC24" s="334"/>
      <c r="AD24" s="1156"/>
      <c r="AE24" s="1156"/>
      <c r="AF24" s="737"/>
      <c r="AG24" s="737"/>
      <c r="AH24" s="1195"/>
      <c r="AI24" s="1196"/>
    </row>
    <row r="25" spans="4:64" ht="14.25" customHeight="1">
      <c r="D25" s="1201"/>
      <c r="E25" s="1197"/>
      <c r="F25" s="1197"/>
      <c r="G25" s="1204"/>
      <c r="H25" s="876"/>
      <c r="I25" s="1200"/>
      <c r="J25" s="1171"/>
      <c r="K25" s="334"/>
      <c r="L25" s="1156"/>
      <c r="M25" s="1156"/>
      <c r="N25" s="34"/>
      <c r="O25" s="1156"/>
      <c r="P25" s="1171"/>
      <c r="Q25" s="374"/>
      <c r="R25" s="1156"/>
      <c r="S25" s="1156"/>
      <c r="T25" s="872"/>
      <c r="U25" s="1156"/>
      <c r="V25" s="1171"/>
      <c r="W25" s="56"/>
      <c r="X25" s="1156"/>
      <c r="Y25" s="1156"/>
      <c r="Z25" s="56"/>
      <c r="AA25" s="737"/>
      <c r="AB25" s="1195"/>
      <c r="AC25" s="1195"/>
      <c r="AD25" s="1195"/>
      <c r="AE25" s="1195"/>
      <c r="AF25" s="1195"/>
      <c r="AG25" s="1195"/>
      <c r="AH25" s="1195"/>
      <c r="AI25" s="1196"/>
    </row>
    <row r="26" spans="4:64" ht="14.25" customHeight="1">
      <c r="D26" s="1201"/>
      <c r="E26" s="1197"/>
      <c r="F26" s="1197"/>
      <c r="G26" s="1204"/>
      <c r="H26" s="876"/>
      <c r="I26" s="1200"/>
      <c r="J26" s="1171"/>
      <c r="K26" s="334"/>
      <c r="L26" s="1156"/>
      <c r="M26" s="1156"/>
      <c r="N26" s="34"/>
      <c r="O26" s="1156"/>
      <c r="P26" s="1171"/>
      <c r="Q26" s="374"/>
      <c r="R26" s="1156"/>
      <c r="S26" s="1156"/>
      <c r="T26" s="51"/>
      <c r="U26" s="873"/>
      <c r="V26" s="1195"/>
      <c r="W26" s="1195"/>
      <c r="X26" s="1195"/>
      <c r="Y26" s="1195"/>
      <c r="Z26" s="1195"/>
      <c r="AA26" s="1195"/>
      <c r="AB26" s="1195"/>
      <c r="AC26" s="1195"/>
      <c r="AD26" s="1195"/>
      <c r="AE26" s="1195"/>
      <c r="AF26" s="1195"/>
      <c r="AG26" s="1195"/>
      <c r="AH26" s="1195"/>
      <c r="AI26" s="1196"/>
    </row>
    <row r="27" spans="4:64" ht="11.25" customHeight="1">
      <c r="D27" s="1201"/>
      <c r="E27" s="1197"/>
      <c r="F27" s="1197"/>
      <c r="G27" s="1204"/>
      <c r="H27" s="877"/>
      <c r="I27" s="1200"/>
      <c r="J27" s="1171"/>
      <c r="K27" s="334"/>
      <c r="L27" s="1156"/>
      <c r="M27" s="1156"/>
      <c r="N27" s="737"/>
      <c r="O27" s="737"/>
      <c r="P27" s="1195"/>
      <c r="Q27" s="1195"/>
      <c r="R27" s="1195"/>
      <c r="S27" s="1195"/>
      <c r="T27" s="1195"/>
      <c r="U27" s="1195"/>
      <c r="V27" s="1195"/>
      <c r="W27" s="1195"/>
      <c r="X27" s="1195"/>
      <c r="Y27" s="1195"/>
      <c r="Z27" s="1195"/>
      <c r="AA27" s="1195"/>
      <c r="AB27" s="1195"/>
      <c r="AC27" s="1195"/>
      <c r="AD27" s="1195"/>
      <c r="AE27" s="1195"/>
      <c r="AF27" s="1195"/>
      <c r="AG27" s="1195"/>
      <c r="AH27" s="1195"/>
      <c r="AI27" s="1196"/>
    </row>
    <row r="28" spans="4:64" s="850" customFormat="1" ht="11.25" customHeight="1">
      <c r="D28" s="1207"/>
      <c r="E28" s="1208"/>
      <c r="F28" s="1198"/>
      <c r="G28" s="1132"/>
      <c r="H28" s="874"/>
      <c r="I28" s="878"/>
      <c r="J28" s="1205"/>
      <c r="K28" s="1205"/>
      <c r="L28" s="1205"/>
      <c r="M28" s="1205"/>
      <c r="N28" s="1205"/>
      <c r="O28" s="1205"/>
      <c r="P28" s="1205"/>
      <c r="Q28" s="1205"/>
      <c r="R28" s="1205"/>
      <c r="S28" s="1205"/>
      <c r="T28" s="1205"/>
      <c r="U28" s="1205"/>
      <c r="V28" s="1205"/>
      <c r="W28" s="1205"/>
      <c r="X28" s="1205"/>
      <c r="Y28" s="1205"/>
      <c r="Z28" s="1205"/>
      <c r="AA28" s="1205"/>
      <c r="AB28" s="1205"/>
      <c r="AC28" s="1205"/>
      <c r="AD28" s="1205"/>
      <c r="AE28" s="1205"/>
      <c r="AF28" s="1205"/>
      <c r="AG28" s="1205"/>
      <c r="AH28" s="1205"/>
      <c r="AI28" s="1206"/>
      <c r="AJ28"/>
      <c r="AK28" s="47"/>
      <c r="AL28"/>
      <c r="AM28"/>
      <c r="AN28"/>
      <c r="AO28"/>
      <c r="AP28"/>
      <c r="AQ28"/>
      <c r="AR28"/>
      <c r="AS28"/>
      <c r="AT28"/>
      <c r="AU28"/>
      <c r="AV28"/>
      <c r="AW28"/>
      <c r="AX28"/>
      <c r="AY28"/>
      <c r="AZ28"/>
      <c r="BA28"/>
      <c r="BB28"/>
      <c r="BC28"/>
      <c r="BD28"/>
      <c r="BE28"/>
      <c r="BF28"/>
      <c r="BG28"/>
      <c r="BH28"/>
      <c r="BI28"/>
      <c r="BJ28"/>
      <c r="BK28"/>
      <c r="BL28"/>
    </row>
    <row r="29" spans="4:64" ht="14.25" customHeight="1">
      <c r="D29" s="1201" t="s">
        <v>87</v>
      </c>
      <c r="E29" s="1197" t="s">
        <v>292</v>
      </c>
      <c r="F29" s="1197" t="s">
        <v>296</v>
      </c>
      <c r="G29" s="1203" t="s">
        <v>52</v>
      </c>
      <c r="H29" s="875"/>
      <c r="I29" s="1199"/>
      <c r="J29" s="1170"/>
      <c r="K29" s="823"/>
      <c r="L29" s="1155"/>
      <c r="M29" s="1155"/>
      <c r="N29" s="869"/>
      <c r="O29" s="1155"/>
      <c r="P29" s="1170"/>
      <c r="Q29" s="823"/>
      <c r="R29" s="1155"/>
      <c r="S29" s="1155"/>
      <c r="T29" s="870"/>
      <c r="U29" s="1155"/>
      <c r="V29" s="1170"/>
      <c r="W29" s="794"/>
      <c r="X29" s="1155"/>
      <c r="Y29" s="1155"/>
      <c r="Z29" s="869"/>
      <c r="AA29" s="1155"/>
      <c r="AB29" s="1170"/>
      <c r="AC29" s="871"/>
      <c r="AD29" s="1155"/>
      <c r="AE29" s="1155"/>
      <c r="AF29" s="794"/>
      <c r="AG29" s="794"/>
      <c r="AH29" s="869"/>
      <c r="AI29" s="736"/>
    </row>
    <row r="30" spans="4:64" ht="14.25" customHeight="1">
      <c r="D30" s="1201"/>
      <c r="E30" s="1197"/>
      <c r="F30" s="1197"/>
      <c r="G30" s="1204"/>
      <c r="H30" s="876"/>
      <c r="I30" s="1200"/>
      <c r="J30" s="1171"/>
      <c r="K30" s="334"/>
      <c r="L30" s="1156"/>
      <c r="M30" s="1156"/>
      <c r="N30" s="34"/>
      <c r="O30" s="1156"/>
      <c r="P30" s="1171"/>
      <c r="Q30" s="374"/>
      <c r="R30" s="1156"/>
      <c r="S30" s="1156"/>
      <c r="T30" s="872"/>
      <c r="U30" s="1156"/>
      <c r="V30" s="1171"/>
      <c r="W30" s="56"/>
      <c r="X30" s="1156"/>
      <c r="Y30" s="1156"/>
      <c r="Z30" s="34"/>
      <c r="AA30" s="1156"/>
      <c r="AB30" s="1171"/>
      <c r="AC30" s="334"/>
      <c r="AD30" s="1156"/>
      <c r="AE30" s="1156"/>
      <c r="AF30" s="737"/>
      <c r="AG30" s="737"/>
      <c r="AH30" s="1195"/>
      <c r="AI30" s="1196"/>
    </row>
    <row r="31" spans="4:64" ht="14.25" customHeight="1">
      <c r="D31" s="1201"/>
      <c r="E31" s="1197"/>
      <c r="F31" s="1197"/>
      <c r="G31" s="1204"/>
      <c r="H31" s="876"/>
      <c r="I31" s="1200"/>
      <c r="J31" s="1171"/>
      <c r="K31" s="334"/>
      <c r="L31" s="1156"/>
      <c r="M31" s="1156"/>
      <c r="N31" s="34"/>
      <c r="O31" s="1156"/>
      <c r="P31" s="1171"/>
      <c r="Q31" s="374"/>
      <c r="R31" s="1156"/>
      <c r="S31" s="1156"/>
      <c r="T31" s="872"/>
      <c r="U31" s="1156"/>
      <c r="V31" s="1171"/>
      <c r="W31" s="56"/>
      <c r="X31" s="1156"/>
      <c r="Y31" s="1156"/>
      <c r="Z31" s="56"/>
      <c r="AA31" s="737"/>
      <c r="AB31" s="1195"/>
      <c r="AC31" s="1195"/>
      <c r="AD31" s="1195"/>
      <c r="AE31" s="1195"/>
      <c r="AF31" s="1195"/>
      <c r="AG31" s="1195"/>
      <c r="AH31" s="1195"/>
      <c r="AI31" s="1196"/>
    </row>
    <row r="32" spans="4:64" ht="14.25" customHeight="1">
      <c r="D32" s="1201"/>
      <c r="E32" s="1197"/>
      <c r="F32" s="1197"/>
      <c r="G32" s="1204"/>
      <c r="H32" s="876"/>
      <c r="I32" s="1200"/>
      <c r="J32" s="1171"/>
      <c r="K32" s="334"/>
      <c r="L32" s="1156"/>
      <c r="M32" s="1156"/>
      <c r="N32" s="34"/>
      <c r="O32" s="1156"/>
      <c r="P32" s="1171"/>
      <c r="Q32" s="374"/>
      <c r="R32" s="1156"/>
      <c r="S32" s="1156"/>
      <c r="T32" s="51"/>
      <c r="U32" s="873"/>
      <c r="V32" s="1195"/>
      <c r="W32" s="1195"/>
      <c r="X32" s="1195"/>
      <c r="Y32" s="1195"/>
      <c r="Z32" s="1195"/>
      <c r="AA32" s="1195"/>
      <c r="AB32" s="1195"/>
      <c r="AC32" s="1195"/>
      <c r="AD32" s="1195"/>
      <c r="AE32" s="1195"/>
      <c r="AF32" s="1195"/>
      <c r="AG32" s="1195"/>
      <c r="AH32" s="1195"/>
      <c r="AI32" s="1196"/>
    </row>
    <row r="33" spans="4:64" ht="11.25" customHeight="1">
      <c r="D33" s="1201"/>
      <c r="E33" s="1197"/>
      <c r="F33" s="1197"/>
      <c r="G33" s="1204"/>
      <c r="H33" s="877"/>
      <c r="I33" s="1200"/>
      <c r="J33" s="1171"/>
      <c r="K33" s="334"/>
      <c r="L33" s="1156"/>
      <c r="M33" s="1156"/>
      <c r="N33" s="737"/>
      <c r="O33" s="737"/>
      <c r="P33" s="1195"/>
      <c r="Q33" s="1195"/>
      <c r="R33" s="1195"/>
      <c r="S33" s="1195"/>
      <c r="T33" s="1195"/>
      <c r="U33" s="1195"/>
      <c r="V33" s="1195"/>
      <c r="W33" s="1195"/>
      <c r="X33" s="1195"/>
      <c r="Y33" s="1195"/>
      <c r="Z33" s="1195"/>
      <c r="AA33" s="1195"/>
      <c r="AB33" s="1195"/>
      <c r="AC33" s="1195"/>
      <c r="AD33" s="1195"/>
      <c r="AE33" s="1195"/>
      <c r="AF33" s="1195"/>
      <c r="AG33" s="1195"/>
      <c r="AH33" s="1195"/>
      <c r="AI33" s="1196"/>
    </row>
    <row r="34" spans="4:64" s="850" customFormat="1" ht="11.25" customHeight="1">
      <c r="D34" s="1207"/>
      <c r="E34" s="1208"/>
      <c r="F34" s="1198"/>
      <c r="G34" s="1132"/>
      <c r="H34" s="874"/>
      <c r="I34" s="878"/>
      <c r="J34" s="1205"/>
      <c r="K34" s="1205"/>
      <c r="L34" s="1205"/>
      <c r="M34" s="1205"/>
      <c r="N34" s="1205"/>
      <c r="O34" s="1205"/>
      <c r="P34" s="1205"/>
      <c r="Q34" s="1205"/>
      <c r="R34" s="1205"/>
      <c r="S34" s="1205"/>
      <c r="T34" s="1205"/>
      <c r="U34" s="1205"/>
      <c r="V34" s="1205"/>
      <c r="W34" s="1205"/>
      <c r="X34" s="1205"/>
      <c r="Y34" s="1205"/>
      <c r="Z34" s="1205"/>
      <c r="AA34" s="1205"/>
      <c r="AB34" s="1205"/>
      <c r="AC34" s="1205"/>
      <c r="AD34" s="1205"/>
      <c r="AE34" s="1205"/>
      <c r="AF34" s="1205"/>
      <c r="AG34" s="1205"/>
      <c r="AH34" s="1205"/>
      <c r="AI34" s="1206"/>
      <c r="AJ34"/>
      <c r="AK34" s="47"/>
      <c r="AL34"/>
      <c r="AM34"/>
      <c r="AN34"/>
      <c r="AO34"/>
      <c r="AP34"/>
      <c r="AQ34"/>
      <c r="AR34"/>
      <c r="AS34"/>
      <c r="AT34"/>
      <c r="AU34"/>
      <c r="AV34"/>
      <c r="AW34"/>
      <c r="AX34"/>
      <c r="AY34"/>
      <c r="AZ34"/>
      <c r="BA34"/>
      <c r="BB34"/>
      <c r="BC34"/>
      <c r="BD34"/>
      <c r="BE34"/>
      <c r="BF34"/>
      <c r="BG34"/>
      <c r="BH34"/>
      <c r="BI34"/>
      <c r="BJ34"/>
      <c r="BK34"/>
      <c r="BL34"/>
    </row>
    <row r="35" spans="4:64" ht="14.25" customHeight="1">
      <c r="D35" s="1201" t="s">
        <v>107</v>
      </c>
      <c r="E35" s="1197" t="s">
        <v>292</v>
      </c>
      <c r="F35" s="1197" t="s">
        <v>297</v>
      </c>
      <c r="G35" s="1203" t="s">
        <v>52</v>
      </c>
      <c r="H35" s="875"/>
      <c r="I35" s="1199"/>
      <c r="J35" s="1170"/>
      <c r="K35" s="823"/>
      <c r="L35" s="1155"/>
      <c r="M35" s="1155"/>
      <c r="N35" s="869"/>
      <c r="O35" s="1155"/>
      <c r="P35" s="1170"/>
      <c r="Q35" s="823"/>
      <c r="R35" s="1155"/>
      <c r="S35" s="1155"/>
      <c r="T35" s="870"/>
      <c r="U35" s="1155"/>
      <c r="V35" s="1170"/>
      <c r="W35" s="794"/>
      <c r="X35" s="1155"/>
      <c r="Y35" s="1155"/>
      <c r="Z35" s="869"/>
      <c r="AA35" s="1155"/>
      <c r="AB35" s="1170"/>
      <c r="AC35" s="871"/>
      <c r="AD35" s="1155"/>
      <c r="AE35" s="1155"/>
      <c r="AF35" s="794"/>
      <c r="AG35" s="794"/>
      <c r="AH35" s="869"/>
      <c r="AI35" s="736"/>
    </row>
    <row r="36" spans="4:64" ht="14.25" customHeight="1">
      <c r="D36" s="1201"/>
      <c r="E36" s="1197"/>
      <c r="F36" s="1197"/>
      <c r="G36" s="1204"/>
      <c r="H36" s="876"/>
      <c r="I36" s="1200"/>
      <c r="J36" s="1171"/>
      <c r="K36" s="334"/>
      <c r="L36" s="1156"/>
      <c r="M36" s="1156"/>
      <c r="N36" s="34"/>
      <c r="O36" s="1156"/>
      <c r="P36" s="1171"/>
      <c r="Q36" s="374"/>
      <c r="R36" s="1156"/>
      <c r="S36" s="1156"/>
      <c r="T36" s="872"/>
      <c r="U36" s="1156"/>
      <c r="V36" s="1171"/>
      <c r="W36" s="56"/>
      <c r="X36" s="1156"/>
      <c r="Y36" s="1156"/>
      <c r="Z36" s="34"/>
      <c r="AA36" s="1156"/>
      <c r="AB36" s="1171"/>
      <c r="AC36" s="334"/>
      <c r="AD36" s="1156"/>
      <c r="AE36" s="1156"/>
      <c r="AF36" s="737"/>
      <c r="AG36" s="737"/>
      <c r="AH36" s="1195"/>
      <c r="AI36" s="1196"/>
    </row>
    <row r="37" spans="4:64" ht="14.25" customHeight="1">
      <c r="D37" s="1201"/>
      <c r="E37" s="1197"/>
      <c r="F37" s="1197"/>
      <c r="G37" s="1204"/>
      <c r="H37" s="876"/>
      <c r="I37" s="1200"/>
      <c r="J37" s="1171"/>
      <c r="K37" s="334"/>
      <c r="L37" s="1156"/>
      <c r="M37" s="1156"/>
      <c r="N37" s="34"/>
      <c r="O37" s="1156"/>
      <c r="P37" s="1171"/>
      <c r="Q37" s="374"/>
      <c r="R37" s="1156"/>
      <c r="S37" s="1156"/>
      <c r="T37" s="872"/>
      <c r="U37" s="1156"/>
      <c r="V37" s="1171"/>
      <c r="W37" s="56"/>
      <c r="X37" s="1156"/>
      <c r="Y37" s="1156"/>
      <c r="Z37" s="56"/>
      <c r="AA37" s="737"/>
      <c r="AB37" s="1195"/>
      <c r="AC37" s="1195"/>
      <c r="AD37" s="1195"/>
      <c r="AE37" s="1195"/>
      <c r="AF37" s="1195"/>
      <c r="AG37" s="1195"/>
      <c r="AH37" s="1195"/>
      <c r="AI37" s="1196"/>
    </row>
    <row r="38" spans="4:64" ht="14.25" customHeight="1">
      <c r="D38" s="1201"/>
      <c r="E38" s="1197"/>
      <c r="F38" s="1197"/>
      <c r="G38" s="1204"/>
      <c r="H38" s="876"/>
      <c r="I38" s="1200"/>
      <c r="J38" s="1171"/>
      <c r="K38" s="334"/>
      <c r="L38" s="1156"/>
      <c r="M38" s="1156"/>
      <c r="N38" s="34"/>
      <c r="O38" s="1156"/>
      <c r="P38" s="1171"/>
      <c r="Q38" s="374"/>
      <c r="R38" s="1156"/>
      <c r="S38" s="1156"/>
      <c r="T38" s="51"/>
      <c r="U38" s="873"/>
      <c r="V38" s="1195"/>
      <c r="W38" s="1195"/>
      <c r="X38" s="1195"/>
      <c r="Y38" s="1195"/>
      <c r="Z38" s="1195"/>
      <c r="AA38" s="1195"/>
      <c r="AB38" s="1195"/>
      <c r="AC38" s="1195"/>
      <c r="AD38" s="1195"/>
      <c r="AE38" s="1195"/>
      <c r="AF38" s="1195"/>
      <c r="AG38" s="1195"/>
      <c r="AH38" s="1195"/>
      <c r="AI38" s="1196"/>
    </row>
    <row r="39" spans="4:64" ht="11.25" customHeight="1">
      <c r="D39" s="1201"/>
      <c r="E39" s="1197"/>
      <c r="F39" s="1197"/>
      <c r="G39" s="1204"/>
      <c r="H39" s="877"/>
      <c r="I39" s="1200"/>
      <c r="J39" s="1171"/>
      <c r="K39" s="334"/>
      <c r="L39" s="1156"/>
      <c r="M39" s="1156"/>
      <c r="N39" s="737"/>
      <c r="O39" s="737"/>
      <c r="P39" s="1195"/>
      <c r="Q39" s="1195"/>
      <c r="R39" s="1195"/>
      <c r="S39" s="1195"/>
      <c r="T39" s="1195"/>
      <c r="U39" s="1195"/>
      <c r="V39" s="1195"/>
      <c r="W39" s="1195"/>
      <c r="X39" s="1195"/>
      <c r="Y39" s="1195"/>
      <c r="Z39" s="1195"/>
      <c r="AA39" s="1195"/>
      <c r="AB39" s="1195"/>
      <c r="AC39" s="1195"/>
      <c r="AD39" s="1195"/>
      <c r="AE39" s="1195"/>
      <c r="AF39" s="1195"/>
      <c r="AG39" s="1195"/>
      <c r="AH39" s="1195"/>
      <c r="AI39" s="1196"/>
    </row>
    <row r="40" spans="4:64" s="850" customFormat="1" ht="11.25" customHeight="1">
      <c r="D40" s="1201"/>
      <c r="E40" s="1197"/>
      <c r="F40" s="1202"/>
      <c r="G40" s="1132"/>
      <c r="H40" s="874"/>
      <c r="I40" s="878"/>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6"/>
      <c r="AJ40"/>
      <c r="AK40" s="47"/>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EEDD1-8A1B-D612-E547-0199F78F6108}">
  <sheetPr>
    <tabColor theme="3" tint="0.59999389629810485"/>
  </sheetPr>
  <dimension ref="A1:I59"/>
  <sheetViews>
    <sheetView showGridLines="0" topLeftCell="C3" zoomScale="90" workbookViewId="0"/>
  </sheetViews>
  <sheetFormatPr defaultColWidth="9.140625" defaultRowHeight="11.25" customHeight="1"/>
  <cols>
    <col min="1" max="1" width="15" style="8" hidden="1" customWidth="1"/>
    <col min="2" max="2" width="15" style="286" hidden="1" customWidth="1"/>
    <col min="3" max="3" width="3.7109375" style="252" customWidth="1"/>
    <col min="4" max="4" width="6.85546875" style="253" customWidth="1"/>
    <col min="5" max="5" width="52.28515625" style="252" customWidth="1"/>
    <col min="6" max="6" width="48.85546875" style="252" customWidth="1"/>
    <col min="7" max="7" width="121.7109375" style="252" customWidth="1"/>
    <col min="8" max="8" width="9.140625" style="252"/>
    <col min="9" max="9" width="65" style="252" customWidth="1"/>
  </cols>
  <sheetData>
    <row r="1" spans="1:9" ht="11.25" hidden="1" customHeight="1">
      <c r="A1" s="8" t="s">
        <v>298</v>
      </c>
    </row>
    <row r="2" spans="1:9" ht="11.25" hidden="1" customHeight="1"/>
    <row r="3" spans="1:9" s="270" customFormat="1" ht="11.25" customHeight="1">
      <c r="A3" s="8"/>
      <c r="B3" s="286"/>
      <c r="D3" s="271"/>
    </row>
    <row r="4" spans="1:9" ht="25.5" customHeight="1">
      <c r="D4" s="117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176"/>
      <c r="F4" s="1177"/>
      <c r="I4" s="404"/>
    </row>
    <row r="5" spans="1:9" ht="17.25" customHeight="1">
      <c r="D5" s="1194" t="str">
        <f>IF(org=0,"Не определено",org)</f>
        <v>АО "ХТК"</v>
      </c>
      <c r="E5" s="1194"/>
      <c r="F5" s="1194"/>
      <c r="I5" s="404"/>
    </row>
    <row r="6" spans="1:9" s="270" customFormat="1" ht="11.25" customHeight="1">
      <c r="A6" s="8"/>
      <c r="B6" s="286"/>
      <c r="D6" s="403"/>
      <c r="E6" s="403"/>
      <c r="F6" s="426"/>
      <c r="G6" s="403"/>
    </row>
    <row r="7" spans="1:9" ht="11.25" hidden="1" customHeight="1">
      <c r="A7" s="11"/>
      <c r="B7" s="287"/>
      <c r="C7" s="11"/>
      <c r="D7" s="15"/>
      <c r="E7" s="1222"/>
      <c r="F7" s="1222"/>
    </row>
    <row r="8" spans="1:9" ht="11.25" customHeight="1">
      <c r="A8" s="11"/>
      <c r="B8" s="287"/>
      <c r="C8" s="11"/>
      <c r="D8" s="1219" t="s">
        <v>299</v>
      </c>
      <c r="E8" s="1220"/>
      <c r="F8" s="1220"/>
      <c r="G8" s="1223" t="s">
        <v>300</v>
      </c>
    </row>
    <row r="9" spans="1:9" ht="11.25" customHeight="1">
      <c r="A9" s="11"/>
      <c r="B9" s="287"/>
      <c r="C9" s="11"/>
      <c r="D9" s="266" t="s">
        <v>84</v>
      </c>
      <c r="E9" s="250" t="s">
        <v>301</v>
      </c>
      <c r="F9" s="250" t="s">
        <v>302</v>
      </c>
      <c r="G9" s="1224"/>
    </row>
    <row r="10" spans="1:9" ht="12" hidden="1" customHeight="1">
      <c r="A10" s="11"/>
      <c r="B10" s="287"/>
      <c r="C10" s="11"/>
      <c r="D10" s="259"/>
      <c r="E10" s="259"/>
      <c r="F10" s="259"/>
      <c r="G10" s="259"/>
    </row>
    <row r="11" spans="1:9" ht="22.5" hidden="1" customHeight="1">
      <c r="A11" s="11"/>
      <c r="B11" s="287"/>
      <c r="C11" s="11"/>
      <c r="D11" s="580" t="s">
        <v>105</v>
      </c>
      <c r="E11" s="315" t="s">
        <v>303</v>
      </c>
      <c r="F11" s="353" t="str">
        <f>IF(region_name="","",region_name)</f>
        <v>Мурманская область</v>
      </c>
      <c r="G11" s="315" t="s">
        <v>304</v>
      </c>
      <c r="H11" s="268"/>
    </row>
    <row r="12" spans="1:9" ht="22.5" hidden="1" customHeight="1">
      <c r="A12" s="11"/>
      <c r="B12" s="287"/>
      <c r="C12" s="11"/>
      <c r="D12" s="249" t="s">
        <v>105</v>
      </c>
      <c r="E12" s="2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0" t="s">
        <v>305</v>
      </c>
      <c r="G12" s="267"/>
      <c r="H12" s="268"/>
    </row>
    <row r="13" spans="1:9" ht="22.5" customHeight="1">
      <c r="A13" s="11"/>
      <c r="B13" s="287"/>
      <c r="C13" s="11"/>
      <c r="D13" s="249" t="s">
        <v>105</v>
      </c>
      <c r="E13" s="247" t="str">
        <f>"Наименование юридического лица"&amp;IF(TEMPLATE_SPHERE="TKO"," (индивидуального предпринимателя)","")</f>
        <v>Наименование юридического лица</v>
      </c>
      <c r="F13" s="246"/>
      <c r="G13" s="2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68"/>
    </row>
    <row r="14" spans="1:9" ht="22.5" hidden="1" customHeight="1">
      <c r="A14" s="11"/>
      <c r="B14" s="287"/>
      <c r="C14" s="11"/>
      <c r="D14" s="580" t="s">
        <v>306</v>
      </c>
      <c r="E14" s="581" t="s">
        <v>307</v>
      </c>
      <c r="F14" s="353" t="str">
        <f>IF(inn="","",inn)</f>
        <v>5101360369</v>
      </c>
      <c r="G14" s="315" t="s">
        <v>308</v>
      </c>
      <c r="H14" s="268"/>
    </row>
    <row r="15" spans="1:9" ht="22.5" hidden="1" customHeight="1">
      <c r="A15" s="11"/>
      <c r="B15" s="287"/>
      <c r="C15" s="11"/>
      <c r="D15" s="580" t="s">
        <v>309</v>
      </c>
      <c r="E15" s="581" t="s">
        <v>310</v>
      </c>
      <c r="F15" s="353" t="str">
        <f>IF(kpp="","",kpp)</f>
        <v>510301001</v>
      </c>
      <c r="G15" s="315" t="s">
        <v>311</v>
      </c>
      <c r="H15" s="268"/>
    </row>
    <row r="16" spans="1:9" ht="36.75" customHeight="1">
      <c r="A16" s="11"/>
      <c r="B16" s="287"/>
      <c r="C16" s="11"/>
      <c r="D16" s="249" t="s">
        <v>106</v>
      </c>
      <c r="E16" s="2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6"/>
      <c r="G16" s="2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8"/>
    </row>
    <row r="17" spans="1:9" ht="22.5" customHeight="1">
      <c r="A17" s="11"/>
      <c r="B17" s="287"/>
      <c r="C17" s="11"/>
      <c r="D17" s="249" t="s">
        <v>86</v>
      </c>
      <c r="E17" s="247" t="str">
        <f>"Дата присвоения ОГРН"&amp;IF(TEMPLATE_SPHERE="TKO",""," (ОГРНИП)")</f>
        <v>Дата присвоения ОГРН (ОГРНИП)</v>
      </c>
      <c r="F17" s="931" t="s">
        <v>18</v>
      </c>
      <c r="G17" s="248" t="str">
        <f>"Дата присвоения ОГРН"&amp;IF(TEMPLATE_SPHERE="TKO",""," (ОГРНИП)")&amp;" указывается в виде «ДД.ММ.ГГГГ»."</f>
        <v>Дата присвоения ОГРН (ОГРНИП) указывается в виде «ДД.ММ.ГГГГ».</v>
      </c>
      <c r="H17" s="268"/>
    </row>
    <row r="18" spans="1:9" ht="56.25" customHeight="1">
      <c r="A18" s="11"/>
      <c r="B18" s="287"/>
      <c r="C18" s="11"/>
      <c r="D18" s="249" t="s">
        <v>87</v>
      </c>
      <c r="E18" s="2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6"/>
      <c r="G18" s="267"/>
      <c r="H18" s="268"/>
    </row>
    <row r="19" spans="1:9" ht="22.5" hidden="1" customHeight="1">
      <c r="A19" s="1217" t="s">
        <v>312</v>
      </c>
      <c r="B19" s="287"/>
      <c r="C19" s="1228"/>
      <c r="D19" s="249" t="str">
        <f>A19</f>
        <v>5.1</v>
      </c>
      <c r="E19" s="247" t="s">
        <v>313</v>
      </c>
      <c r="F19" s="40" t="s">
        <v>305</v>
      </c>
      <c r="G19" s="248" t="s">
        <v>314</v>
      </c>
      <c r="H19" s="268"/>
      <c r="I19" s="480"/>
    </row>
    <row r="20" spans="1:9" ht="24" hidden="1" customHeight="1">
      <c r="A20" s="1217"/>
      <c r="B20" s="287"/>
      <c r="C20" s="1228"/>
      <c r="D20" s="245" t="str">
        <f>D19&amp;".1"</f>
        <v>5.1.1</v>
      </c>
      <c r="E20" s="244" t="s">
        <v>315</v>
      </c>
      <c r="F20" s="501" t="s">
        <v>18</v>
      </c>
      <c r="G20" s="267"/>
      <c r="H20" s="268"/>
      <c r="I20" s="480"/>
    </row>
    <row r="21" spans="1:9" ht="22.5" hidden="1" customHeight="1">
      <c r="A21" s="1217"/>
      <c r="B21" s="287"/>
      <c r="C21" s="1228"/>
      <c r="D21" s="245" t="str">
        <f>D19&amp;".2"</f>
        <v>5.1.2</v>
      </c>
      <c r="E21" s="244" t="s">
        <v>316</v>
      </c>
      <c r="F21" s="932" t="s">
        <v>18</v>
      </c>
      <c r="G21" s="248" t="s">
        <v>317</v>
      </c>
      <c r="H21" s="268"/>
      <c r="I21" s="480"/>
    </row>
    <row r="22" spans="1:9" ht="22.5" hidden="1" customHeight="1">
      <c r="A22" s="1217"/>
      <c r="B22" s="287"/>
      <c r="C22" s="1228"/>
      <c r="D22" s="245" t="str">
        <f>D19&amp;".3"</f>
        <v>5.1.3</v>
      </c>
      <c r="E22" s="244" t="s">
        <v>318</v>
      </c>
      <c r="F22" s="501" t="s">
        <v>18</v>
      </c>
      <c r="G22" s="267"/>
      <c r="H22" s="268"/>
      <c r="I22" s="480"/>
    </row>
    <row r="23" spans="1:9" ht="22.5" hidden="1" customHeight="1">
      <c r="A23" s="1217"/>
      <c r="B23" s="287"/>
      <c r="C23" s="1228"/>
      <c r="D23" s="245" t="str">
        <f>D19&amp;".4"</f>
        <v>5.1.4</v>
      </c>
      <c r="E23" s="244" t="s">
        <v>319</v>
      </c>
      <c r="F23" s="501" t="s">
        <v>18</v>
      </c>
      <c r="G23" s="248" t="s">
        <v>320</v>
      </c>
      <c r="H23" s="268"/>
      <c r="I23" s="480"/>
    </row>
    <row r="24" spans="1:9" ht="22.5" hidden="1" customHeight="1">
      <c r="A24" s="1042"/>
      <c r="B24" s="287"/>
      <c r="C24" s="280"/>
      <c r="D24" s="261"/>
      <c r="E24" s="108" t="s">
        <v>321</v>
      </c>
      <c r="F24" s="262"/>
      <c r="G24" s="263"/>
      <c r="H24" s="268"/>
      <c r="I24" s="480"/>
    </row>
    <row r="25" spans="1:9" s="286" customFormat="1" ht="24.75" hidden="1" customHeight="1">
      <c r="A25" s="11"/>
      <c r="B25" s="287"/>
      <c r="C25" s="287"/>
      <c r="D25" s="577" t="s">
        <v>86</v>
      </c>
      <c r="E25" s="579" t="s">
        <v>322</v>
      </c>
      <c r="F25" s="314" t="s">
        <v>305</v>
      </c>
      <c r="G25" s="579"/>
    </row>
    <row r="26" spans="1:9" s="286" customFormat="1" ht="11.25" hidden="1" customHeight="1">
      <c r="A26" s="11"/>
      <c r="B26" s="287"/>
      <c r="C26" s="287"/>
      <c r="D26" s="577" t="s">
        <v>323</v>
      </c>
      <c r="E26" s="578" t="s">
        <v>324</v>
      </c>
      <c r="F26" s="314" t="s">
        <v>305</v>
      </c>
      <c r="G26" s="579"/>
    </row>
    <row r="27" spans="1:9" s="286" customFormat="1" ht="11.25" hidden="1" customHeight="1">
      <c r="A27" s="11"/>
      <c r="B27" s="287"/>
      <c r="C27" s="287"/>
      <c r="D27" s="577" t="s">
        <v>325</v>
      </c>
      <c r="E27" s="582" t="s">
        <v>326</v>
      </c>
      <c r="F27" s="583"/>
      <c r="G27" s="57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8" spans="1:9" s="286" customFormat="1" ht="11.25" hidden="1" customHeight="1">
      <c r="A28" s="11"/>
      <c r="B28" s="287"/>
      <c r="C28" s="287"/>
      <c r="D28" s="577" t="s">
        <v>327</v>
      </c>
      <c r="E28" s="582" t="s">
        <v>328</v>
      </c>
      <c r="F28" s="583"/>
      <c r="G28" s="57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9" spans="1:9" s="286" customFormat="1" ht="11.25" hidden="1" customHeight="1">
      <c r="A29" s="11"/>
      <c r="B29" s="287"/>
      <c r="C29" s="287"/>
      <c r="D29" s="577" t="s">
        <v>329</v>
      </c>
      <c r="E29" s="582" t="s">
        <v>330</v>
      </c>
      <c r="F29" s="583"/>
      <c r="G29" s="57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30" spans="1:9" s="286" customFormat="1" ht="11.25" hidden="1" customHeight="1">
      <c r="A30" s="11"/>
      <c r="B30" s="287"/>
      <c r="C30" s="287"/>
      <c r="D30" s="577" t="s">
        <v>331</v>
      </c>
      <c r="E30" s="578" t="s">
        <v>332</v>
      </c>
      <c r="F30" s="583"/>
      <c r="G30" s="579"/>
    </row>
    <row r="31" spans="1:9" s="286" customFormat="1" ht="11.25" hidden="1" customHeight="1">
      <c r="A31" s="11"/>
      <c r="B31" s="287"/>
      <c r="C31" s="287"/>
      <c r="D31" s="577" t="s">
        <v>333</v>
      </c>
      <c r="E31" s="578" t="s">
        <v>334</v>
      </c>
      <c r="F31" s="583"/>
      <c r="G31" s="579"/>
    </row>
    <row r="32" spans="1:9" s="286" customFormat="1" ht="11.25" hidden="1" customHeight="1">
      <c r="A32" s="11"/>
      <c r="B32" s="287"/>
      <c r="C32" s="287"/>
      <c r="D32" s="577" t="s">
        <v>335</v>
      </c>
      <c r="E32" s="578" t="s">
        <v>336</v>
      </c>
      <c r="F32" s="583"/>
      <c r="G32" s="579"/>
    </row>
    <row r="33" spans="1:8" ht="22.5" customHeight="1">
      <c r="A33" s="11" t="str">
        <f>IF(TEMPLATE_SPHERE="HEAT","6","5")</f>
        <v>6</v>
      </c>
      <c r="B33" s="287"/>
      <c r="C33" s="11"/>
      <c r="D33" s="245" t="str">
        <f>A33</f>
        <v>6</v>
      </c>
      <c r="E33" s="2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0" t="s">
        <v>305</v>
      </c>
      <c r="G33" s="267"/>
      <c r="H33" s="268"/>
    </row>
    <row r="34" spans="1:8" ht="22.5" customHeight="1">
      <c r="A34" s="11"/>
      <c r="B34" s="287"/>
      <c r="C34" s="11"/>
      <c r="D34" s="245" t="str">
        <f>D33&amp;".1"</f>
        <v>6.1</v>
      </c>
      <c r="E34" s="247" t="str">
        <f>"фамилия"&amp;IF(TEMPLATE_SPHERE&lt;&gt;"HEAT"," руководителя","")</f>
        <v>фамилия</v>
      </c>
      <c r="F34" s="246"/>
      <c r="G34" s="2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268"/>
    </row>
    <row r="35" spans="1:8" ht="22.5" customHeight="1">
      <c r="A35" s="11"/>
      <c r="B35" s="287"/>
      <c r="C35" s="11"/>
      <c r="D35" s="245" t="str">
        <f>D33&amp;".2"</f>
        <v>6.2</v>
      </c>
      <c r="E35" s="247" t="str">
        <f>"имя"&amp;IF(TEMPLATE_SPHERE&lt;&gt;"HEAT"," руководителя","")</f>
        <v>имя</v>
      </c>
      <c r="F35" s="246"/>
      <c r="G35" s="2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268"/>
    </row>
    <row r="36" spans="1:8" ht="22.5" customHeight="1">
      <c r="A36" s="11"/>
      <c r="B36" s="287"/>
      <c r="C36" s="11"/>
      <c r="D36" s="245" t="str">
        <f>D33&amp;".3"</f>
        <v>6.3</v>
      </c>
      <c r="E36" s="247" t="str">
        <f>"отчество"&amp;IF(TEMPLATE_SPHERE&lt;&gt;"HEAT"," руководителя","")</f>
        <v>отчество</v>
      </c>
      <c r="F36" s="393"/>
      <c r="G36" s="2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268"/>
    </row>
    <row r="37" spans="1:8" ht="33.75" customHeight="1">
      <c r="A37" s="11"/>
      <c r="B37" s="287"/>
      <c r="C37" s="11"/>
      <c r="D37" s="245">
        <f>D33+1</f>
        <v>7</v>
      </c>
      <c r="E37" s="2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46"/>
      <c r="G37" s="248" t="s">
        <v>337</v>
      </c>
      <c r="H37" s="268"/>
    </row>
    <row r="38" spans="1:8" ht="33.75" customHeight="1">
      <c r="A38" s="11"/>
      <c r="B38" s="287"/>
      <c r="C38" s="11"/>
      <c r="D38" s="245">
        <f>D37+1</f>
        <v>8</v>
      </c>
      <c r="E38" s="2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46"/>
      <c r="G38" s="248" t="s">
        <v>337</v>
      </c>
      <c r="H38" s="268"/>
    </row>
    <row r="39" spans="1:8" ht="22.5" customHeight="1">
      <c r="A39" s="11"/>
      <c r="B39" s="287"/>
      <c r="C39" s="11"/>
      <c r="D39" s="245">
        <f>D38+1</f>
        <v>9</v>
      </c>
      <c r="E39" s="2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0" t="s">
        <v>305</v>
      </c>
      <c r="G39" s="122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8"/>
    </row>
    <row r="40" spans="1:8" ht="22.5" hidden="1" customHeight="1">
      <c r="A40" s="11"/>
      <c r="B40" s="287"/>
      <c r="C40" s="11"/>
      <c r="D40" s="245" t="str">
        <f>D39&amp;".0"</f>
        <v>9.0</v>
      </c>
      <c r="E40" s="385"/>
      <c r="F40" s="501"/>
      <c r="G40" s="1226"/>
      <c r="H40" s="268"/>
    </row>
    <row r="41" spans="1:8" ht="22.5" customHeight="1">
      <c r="A41" s="11"/>
      <c r="B41" s="11"/>
      <c r="C41" s="24"/>
      <c r="D41" s="245" t="str">
        <f>D39&amp;".1"</f>
        <v>9.1</v>
      </c>
      <c r="E41" s="488"/>
      <c r="F41" s="392"/>
      <c r="G41" s="1226"/>
      <c r="H41" s="268"/>
    </row>
    <row r="42" spans="1:8" ht="15" customHeight="1">
      <c r="A42" s="11"/>
      <c r="B42" s="287"/>
      <c r="C42" s="11"/>
      <c r="D42" s="261"/>
      <c r="E42" s="108" t="s">
        <v>338</v>
      </c>
      <c r="F42" s="263"/>
      <c r="G42" s="1227"/>
      <c r="H42" s="269"/>
    </row>
    <row r="43" spans="1:8" ht="25.5" customHeight="1">
      <c r="A43" s="11"/>
      <c r="B43" s="287"/>
      <c r="C43" s="11"/>
      <c r="D43" s="245">
        <f>D39+1</f>
        <v>10</v>
      </c>
      <c r="E43" s="2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489"/>
      <c r="G43" s="2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8"/>
    </row>
    <row r="44" spans="1:8" ht="22.5" customHeight="1">
      <c r="A44" s="11"/>
      <c r="B44" s="287"/>
      <c r="C44" s="11"/>
      <c r="D44" s="245">
        <f>D43+1</f>
        <v>11</v>
      </c>
      <c r="E44" s="2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
      <c r="G44" s="267" t="s">
        <v>339</v>
      </c>
      <c r="H44" s="268"/>
    </row>
    <row r="45" spans="1:8" ht="22.5" customHeight="1">
      <c r="A45" s="11"/>
      <c r="B45" s="287"/>
      <c r="C45" s="11"/>
      <c r="D45" s="245">
        <f>D44+1</f>
        <v>12</v>
      </c>
      <c r="E45" s="243" t="s">
        <v>340</v>
      </c>
      <c r="F45" s="40" t="s">
        <v>305</v>
      </c>
      <c r="G45" s="242" t="str">
        <f>IF(TEMPLATE_SPHERE="TKO","Указывается режим работы организации.","")</f>
        <v/>
      </c>
      <c r="H45" s="268"/>
    </row>
    <row r="46" spans="1:8" ht="22.5" customHeight="1">
      <c r="A46" s="11"/>
      <c r="B46" s="287"/>
      <c r="C46" s="11"/>
      <c r="D46" s="245" t="str">
        <f>D45&amp;".1"</f>
        <v>12.1</v>
      </c>
      <c r="E46" s="247" t="str">
        <f>"режим работы регулируемой организации"&amp;IF(TEMPLATE_SPHERE="HEAT",", ЕТО, ТО","")</f>
        <v>режим работы регулируемой организации, ЕТО, ТО</v>
      </c>
      <c r="F46" s="111"/>
      <c r="G46" s="242" t="s">
        <v>341</v>
      </c>
      <c r="H46" s="268"/>
    </row>
    <row r="47" spans="1:8" ht="22.5" customHeight="1">
      <c r="A47" s="1217"/>
      <c r="B47" s="287"/>
      <c r="C47" s="280"/>
      <c r="D47" s="245" t="str">
        <f>D45&amp;".2"</f>
        <v>12.2</v>
      </c>
      <c r="E47" s="247" t="s">
        <v>342</v>
      </c>
      <c r="F47" s="111"/>
      <c r="G47" s="242" t="s">
        <v>343</v>
      </c>
      <c r="H47" s="268"/>
    </row>
    <row r="48" spans="1:8" ht="22.5" customHeight="1">
      <c r="A48" s="1217"/>
      <c r="B48" s="287"/>
      <c r="C48" s="280"/>
      <c r="D48" s="245" t="str">
        <f>D45&amp;".3"</f>
        <v>12.3</v>
      </c>
      <c r="E48" s="247" t="s">
        <v>344</v>
      </c>
      <c r="F48" s="111"/>
      <c r="G48" s="242" t="s">
        <v>345</v>
      </c>
      <c r="H48" s="268"/>
    </row>
    <row r="49" spans="1:9" ht="22.5" customHeight="1">
      <c r="A49" s="1217"/>
      <c r="B49" s="287"/>
      <c r="C49" s="280"/>
      <c r="D49" s="245" t="str">
        <f>IF(TEMPLATE_SPHERE="TKO",D45&amp;".0",D45&amp;".4")</f>
        <v>12.4</v>
      </c>
      <c r="E49" s="241" t="s">
        <v>346</v>
      </c>
      <c r="F49" s="896"/>
      <c r="G49" s="959" t="s">
        <v>347</v>
      </c>
      <c r="H49" s="268"/>
    </row>
    <row r="50" spans="1:9" ht="22.5" customHeight="1">
      <c r="A50" s="11"/>
      <c r="B50" s="287"/>
      <c r="C50" s="11"/>
      <c r="D50" s="261"/>
      <c r="E50" s="108" t="s">
        <v>348</v>
      </c>
      <c r="F50" s="262"/>
      <c r="G50" s="959" t="s">
        <v>349</v>
      </c>
      <c r="H50" s="269"/>
    </row>
    <row r="51" spans="1:9" ht="22.5" customHeight="1">
      <c r="A51" s="486"/>
      <c r="B51" s="287"/>
      <c r="C51" s="280"/>
      <c r="D51" s="245">
        <f>D45+1</f>
        <v>13</v>
      </c>
      <c r="E51" s="297" t="s">
        <v>350</v>
      </c>
      <c r="F51" s="111"/>
      <c r="G51" s="89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268"/>
    </row>
    <row r="52" spans="1:9" ht="11.25" customHeight="1">
      <c r="A52" s="11"/>
      <c r="B52" s="287"/>
      <c r="C52" s="11"/>
    </row>
    <row r="53" spans="1:9" s="256" customFormat="1" ht="30" customHeight="1">
      <c r="A53" s="5"/>
      <c r="B53" s="68"/>
      <c r="C53" s="1218"/>
      <c r="D53" s="122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1221"/>
      <c r="F53" s="1221"/>
      <c r="G53" s="1221"/>
      <c r="H53" s="91"/>
      <c r="I53" s="91"/>
    </row>
    <row r="54" spans="1:9" s="256" customFormat="1" ht="39.75" customHeight="1">
      <c r="A54" s="11"/>
      <c r="B54" s="287"/>
      <c r="C54" s="1218"/>
      <c r="D54" s="122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1221"/>
      <c r="F54" s="1221"/>
      <c r="G54" s="1221"/>
    </row>
    <row r="55" spans="1:9" ht="11.25" customHeight="1">
      <c r="D55" s="254"/>
      <c r="E55" s="255"/>
      <c r="F55" s="255"/>
      <c r="G55" s="255"/>
    </row>
    <row r="56" spans="1:9" ht="27" customHeight="1">
      <c r="D56" s="257"/>
      <c r="E56" s="254"/>
      <c r="F56" s="264"/>
      <c r="G56" s="264"/>
    </row>
    <row r="57" spans="1:9" ht="11.25" customHeight="1">
      <c r="D57" s="254"/>
      <c r="E57" s="254"/>
      <c r="F57" s="255"/>
      <c r="G57" s="255"/>
    </row>
    <row r="58" spans="1:9" ht="39" customHeight="1">
      <c r="D58" s="258"/>
      <c r="E58" s="265"/>
      <c r="F58" s="265"/>
      <c r="G58" s="265"/>
    </row>
    <row r="59" spans="1:9" ht="27" customHeight="1">
      <c r="D59" s="258"/>
      <c r="E59" s="265"/>
      <c r="F59" s="265"/>
      <c r="G59" s="265"/>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8662A-7736-71A8-4662-C333C9B81BE2}">
  <sheetPr>
    <tabColor theme="3" tint="0.59999389629810485"/>
  </sheetPr>
  <dimension ref="A1:AS14"/>
  <sheetViews>
    <sheetView showGridLines="0" topLeftCell="C3" zoomScale="90" workbookViewId="0"/>
  </sheetViews>
  <sheetFormatPr defaultColWidth="10.5703125" defaultRowHeight="14.25" customHeight="1"/>
  <cols>
    <col min="1" max="1" width="9.140625" style="9" hidden="1" customWidth="1"/>
    <col min="2" max="2" width="9.140625" style="12" hidden="1" customWidth="1"/>
    <col min="3" max="3" width="3.7109375" style="76" customWidth="1"/>
    <col min="4" max="4" width="5.5703125" style="12" customWidth="1"/>
    <col min="5" max="5" width="48.42578125" style="12" customWidth="1"/>
    <col min="6" max="6" width="38.140625" style="12" customWidth="1"/>
    <col min="7" max="7" width="1.7109375" style="12" hidden="1" customWidth="1"/>
    <col min="8" max="11" width="19.85546875" style="12" customWidth="1"/>
    <col min="12" max="12" width="9.7109375" style="12" customWidth="1"/>
    <col min="13" max="18" width="19.85546875" style="12" customWidth="1"/>
    <col min="19" max="19" width="1.7109375" style="12" hidden="1" customWidth="1"/>
    <col min="20" max="22" width="19.85546875" style="12" hidden="1" customWidth="1"/>
    <col min="23" max="23" width="1.7109375" style="12" hidden="1" customWidth="1"/>
    <col min="24" max="26" width="19.85546875" style="12" hidden="1" customWidth="1"/>
    <col min="27" max="27" width="1.7109375" style="12" hidden="1" customWidth="1"/>
    <col min="28" max="29" width="19.85546875" style="12" hidden="1" customWidth="1"/>
    <col min="30" max="30" width="1.7109375" style="12" hidden="1" customWidth="1"/>
    <col min="31" max="31" width="103.7109375" style="12" customWidth="1"/>
    <col min="32" max="34" width="103.7109375" style="12" hidden="1" customWidth="1"/>
    <col min="35" max="35" width="3.7109375" style="46" customWidth="1"/>
    <col min="36" max="38" width="10.5703125" style="68"/>
    <col min="39" max="39" width="13.7109375" style="68" hidden="1" customWidth="1"/>
    <col min="40" max="40" width="15.42578125" style="68" customWidth="1"/>
    <col min="41" max="41" width="16.28515625" style="68" customWidth="1"/>
    <col min="42" max="45" width="10.5703125" style="68"/>
  </cols>
  <sheetData>
    <row r="1" spans="1:45" ht="14.25" hidden="1" customHeight="1">
      <c r="E1" s="233"/>
      <c r="F1" s="233"/>
      <c r="G1" s="233"/>
      <c r="H1" s="1232" t="s">
        <v>351</v>
      </c>
      <c r="I1" s="1232"/>
      <c r="J1" s="1232"/>
      <c r="K1" s="1232"/>
      <c r="L1" s="1232"/>
      <c r="M1" s="1232"/>
      <c r="N1" s="1232"/>
      <c r="O1" s="1232"/>
      <c r="P1" s="1232"/>
      <c r="Q1" s="1232"/>
      <c r="R1" s="1232"/>
      <c r="T1" s="1232" t="s">
        <v>352</v>
      </c>
      <c r="U1" s="1232"/>
      <c r="V1" s="1232"/>
      <c r="X1" s="1232" t="s">
        <v>353</v>
      </c>
      <c r="Y1" s="1232"/>
      <c r="Z1" s="1232"/>
      <c r="AB1" s="1232" t="s">
        <v>354</v>
      </c>
      <c r="AC1" s="1232"/>
    </row>
    <row r="2" spans="1:45" ht="14.25" hidden="1" customHeight="1"/>
    <row r="3" spans="1:45" s="395" customFormat="1" ht="6" customHeight="1">
      <c r="C3" s="396"/>
      <c r="D3" s="397"/>
      <c r="E3" s="397"/>
      <c r="F3" s="397"/>
      <c r="G3" s="397"/>
      <c r="H3" s="397" t="s">
        <v>355</v>
      </c>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J3" s="68"/>
      <c r="AK3" s="68"/>
      <c r="AL3" s="68"/>
      <c r="AM3" s="68"/>
      <c r="AN3" s="68"/>
      <c r="AO3" s="68"/>
      <c r="AP3" s="68"/>
      <c r="AQ3" s="68"/>
      <c r="AR3" s="68"/>
      <c r="AS3" s="68"/>
    </row>
    <row r="4" spans="1:45" ht="37.5" customHeight="1">
      <c r="C4" s="24"/>
      <c r="D4" s="117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176"/>
      <c r="F4" s="1176"/>
      <c r="G4" s="1176"/>
      <c r="H4" s="1176"/>
      <c r="I4" s="1176"/>
      <c r="J4" s="1176"/>
      <c r="K4" s="1176"/>
      <c r="L4" s="1176"/>
      <c r="M4" s="1176"/>
      <c r="N4" s="1176"/>
      <c r="O4" s="1176"/>
      <c r="P4" s="1176"/>
      <c r="Q4" s="1176"/>
      <c r="R4" s="1177"/>
      <c r="S4" s="481"/>
      <c r="T4" s="394"/>
      <c r="U4" s="394"/>
      <c r="V4" s="394"/>
      <c r="W4" s="394"/>
      <c r="X4" s="394"/>
      <c r="Y4" s="394"/>
      <c r="Z4" s="394"/>
      <c r="AA4" s="394"/>
      <c r="AB4" s="394"/>
      <c r="AC4" s="394"/>
      <c r="AD4" s="394"/>
      <c r="AE4" s="279"/>
      <c r="AF4" s="279"/>
      <c r="AG4" s="279"/>
      <c r="AH4" s="279"/>
      <c r="AI4" s="154"/>
    </row>
    <row r="5" spans="1:45" s="12" customFormat="1" ht="17.25" customHeight="1">
      <c r="A5" s="9"/>
      <c r="C5" s="24"/>
      <c r="D5" s="1229" t="str">
        <f>IF(org=0,"Не определено",org)</f>
        <v>АО "ХТК"</v>
      </c>
      <c r="E5" s="1230"/>
      <c r="F5" s="1230"/>
      <c r="G5" s="1230"/>
      <c r="H5" s="1230"/>
      <c r="I5" s="1230"/>
      <c r="J5" s="1230"/>
      <c r="K5" s="1230"/>
      <c r="L5" s="1230"/>
      <c r="M5" s="1230"/>
      <c r="N5" s="1230"/>
      <c r="O5" s="1230"/>
      <c r="P5" s="1230"/>
      <c r="Q5" s="1230"/>
      <c r="R5" s="1231"/>
      <c r="S5" s="481"/>
      <c r="T5" s="394"/>
      <c r="U5" s="394"/>
      <c r="V5" s="394"/>
      <c r="W5" s="394"/>
      <c r="X5" s="394"/>
      <c r="Y5" s="394"/>
      <c r="Z5" s="394"/>
      <c r="AA5" s="394"/>
      <c r="AB5" s="394"/>
      <c r="AC5" s="394"/>
      <c r="AD5" s="394"/>
      <c r="AE5" s="279"/>
      <c r="AF5" s="279"/>
      <c r="AG5" s="279"/>
      <c r="AH5" s="279"/>
      <c r="AI5" s="154"/>
      <c r="AJ5" s="68"/>
      <c r="AK5" s="68"/>
      <c r="AL5" s="68"/>
      <c r="AM5" s="68"/>
      <c r="AN5" s="68"/>
      <c r="AO5" s="68"/>
      <c r="AP5" s="68"/>
      <c r="AQ5" s="68"/>
      <c r="AR5" s="68"/>
      <c r="AS5" s="68"/>
    </row>
    <row r="6" spans="1:45" s="134" customFormat="1" ht="11.25" customHeight="1">
      <c r="A6" s="272"/>
      <c r="C6" s="277"/>
      <c r="D6" s="276"/>
      <c r="E6" s="276"/>
      <c r="F6" s="276"/>
      <c r="G6" s="276"/>
      <c r="H6" s="276"/>
      <c r="I6" s="276"/>
      <c r="J6" s="276"/>
      <c r="K6" s="276"/>
      <c r="L6" s="276"/>
      <c r="M6" s="276"/>
      <c r="N6" s="276"/>
      <c r="O6" s="276"/>
      <c r="P6" s="276"/>
      <c r="Q6" s="276"/>
      <c r="R6" s="426"/>
      <c r="S6" s="426"/>
      <c r="T6" s="276"/>
      <c r="U6" s="276"/>
      <c r="V6" s="401"/>
      <c r="W6" s="401"/>
      <c r="X6" s="276"/>
      <c r="Y6" s="276"/>
      <c r="Z6" s="401"/>
      <c r="AA6" s="401"/>
      <c r="AB6" s="276"/>
      <c r="AC6" s="401"/>
      <c r="AD6" s="401"/>
      <c r="AE6" s="276"/>
      <c r="AF6" s="276"/>
      <c r="AG6" s="276"/>
      <c r="AH6" s="276"/>
      <c r="AJ6" s="68"/>
      <c r="AK6" s="68"/>
      <c r="AL6" s="68"/>
      <c r="AM6" s="68"/>
      <c r="AN6" s="68"/>
      <c r="AO6" s="68"/>
      <c r="AP6" s="68"/>
      <c r="AQ6" s="68"/>
      <c r="AR6" s="68"/>
      <c r="AS6" s="68"/>
    </row>
    <row r="7" spans="1:45" ht="14.25" customHeight="1">
      <c r="C7" s="24"/>
      <c r="D7" s="1233" t="s">
        <v>299</v>
      </c>
      <c r="E7" s="1234"/>
      <c r="F7" s="1234"/>
      <c r="G7" s="1234"/>
      <c r="H7" s="1234"/>
      <c r="I7" s="1234"/>
      <c r="J7" s="1234"/>
      <c r="K7" s="1234"/>
      <c r="L7" s="1234"/>
      <c r="M7" s="1234"/>
      <c r="N7" s="1234"/>
      <c r="O7" s="1234"/>
      <c r="P7" s="1234"/>
      <c r="Q7" s="1234"/>
      <c r="R7" s="1234"/>
      <c r="S7" s="1234"/>
      <c r="T7" s="1234"/>
      <c r="U7" s="1234"/>
      <c r="V7" s="1234"/>
      <c r="W7" s="1234"/>
      <c r="X7" s="1234"/>
      <c r="Y7" s="1234"/>
      <c r="Z7" s="1234"/>
      <c r="AA7" s="1234"/>
      <c r="AB7" s="1234"/>
      <c r="AC7" s="1234"/>
      <c r="AD7" s="1235"/>
      <c r="AE7" s="1173" t="s">
        <v>300</v>
      </c>
      <c r="AF7" s="1173" t="s">
        <v>300</v>
      </c>
      <c r="AG7" s="1173" t="s">
        <v>300</v>
      </c>
      <c r="AH7" s="1173" t="s">
        <v>300</v>
      </c>
    </row>
    <row r="8" spans="1:45" ht="25.5" customHeight="1">
      <c r="C8" s="24"/>
      <c r="D8" s="1146" t="s">
        <v>84</v>
      </c>
      <c r="E8" s="1173" t="str">
        <f>"Наименование "&amp;IF(TEMPLATE_SPHERE&lt;&gt;"HEAT","централизованной ","")&amp;"системы "&amp;TEMPLATE_SPHERE_RUS</f>
        <v>Наименование системы теплоснабжения</v>
      </c>
      <c r="F8" s="1173" t="str">
        <f>IF(TEMPLATE_SPHERE&lt;&gt;"HEAT","Регулируемый вид деятельности","Вид регулируемой деятельности")</f>
        <v>Вид регулируемой деятельности</v>
      </c>
      <c r="G8" s="463"/>
      <c r="H8" s="1238" t="s">
        <v>356</v>
      </c>
      <c r="I8" s="1240" t="s">
        <v>357</v>
      </c>
      <c r="J8" s="1173" t="s">
        <v>358</v>
      </c>
      <c r="K8" s="1173"/>
      <c r="L8" s="1173"/>
      <c r="M8" s="1233"/>
      <c r="N8" s="1173" t="s">
        <v>359</v>
      </c>
      <c r="O8" s="1173"/>
      <c r="P8" s="1173" t="s">
        <v>360</v>
      </c>
      <c r="Q8" s="1173"/>
      <c r="R8" s="1242" t="s">
        <v>361</v>
      </c>
      <c r="S8" s="461"/>
      <c r="T8" s="1238" t="s">
        <v>362</v>
      </c>
      <c r="U8" s="1238" t="s">
        <v>363</v>
      </c>
      <c r="V8" s="1238" t="s">
        <v>364</v>
      </c>
      <c r="W8" s="463"/>
      <c r="X8" s="1238" t="s">
        <v>365</v>
      </c>
      <c r="Y8" s="1238" t="s">
        <v>366</v>
      </c>
      <c r="Z8" s="1238" t="s">
        <v>367</v>
      </c>
      <c r="AA8" s="463"/>
      <c r="AB8" s="1238" t="s">
        <v>368</v>
      </c>
      <c r="AC8" s="1238" t="s">
        <v>361</v>
      </c>
      <c r="AD8" s="463"/>
      <c r="AE8" s="1173"/>
      <c r="AF8" s="1173"/>
      <c r="AG8" s="1173"/>
      <c r="AH8" s="1173"/>
    </row>
    <row r="9" spans="1:45" ht="43.5" customHeight="1">
      <c r="C9" s="24"/>
      <c r="D9" s="1146"/>
      <c r="E9" s="1173"/>
      <c r="F9" s="1173"/>
      <c r="G9" s="464"/>
      <c r="H9" s="1239"/>
      <c r="I9" s="1241"/>
      <c r="J9" s="40" t="s">
        <v>369</v>
      </c>
      <c r="K9" s="40" t="s">
        <v>370</v>
      </c>
      <c r="L9" s="40" t="s">
        <v>371</v>
      </c>
      <c r="M9" s="237" t="s">
        <v>372</v>
      </c>
      <c r="N9" s="40" t="s">
        <v>373</v>
      </c>
      <c r="O9" s="40" t="s">
        <v>372</v>
      </c>
      <c r="P9" s="40" t="s">
        <v>374</v>
      </c>
      <c r="Q9" s="40" t="s">
        <v>372</v>
      </c>
      <c r="R9" s="1243"/>
      <c r="S9" s="462"/>
      <c r="T9" s="1239"/>
      <c r="U9" s="1239"/>
      <c r="V9" s="1239"/>
      <c r="W9" s="464"/>
      <c r="X9" s="1239"/>
      <c r="Y9" s="1239"/>
      <c r="Z9" s="1239"/>
      <c r="AA9" s="464"/>
      <c r="AB9" s="1239"/>
      <c r="AC9" s="1239"/>
      <c r="AD9" s="464"/>
      <c r="AE9" s="1173"/>
      <c r="AF9" s="1173"/>
      <c r="AG9" s="1173"/>
      <c r="AH9" s="1173"/>
    </row>
    <row r="10" spans="1:45" ht="12" hidden="1" customHeight="1">
      <c r="C10" s="278"/>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12"/>
      <c r="AP10" s="69"/>
      <c r="AQ10" s="69"/>
    </row>
    <row r="11" spans="1:45" s="201" customFormat="1" ht="11.25" hidden="1" customHeight="1">
      <c r="C11" s="284"/>
      <c r="D11" s="285" t="s">
        <v>375</v>
      </c>
      <c r="E11" s="285"/>
      <c r="F11" s="285"/>
      <c r="G11" s="285"/>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73"/>
      <c r="AF11" s="73"/>
      <c r="AG11" s="73"/>
      <c r="AH11" s="73"/>
      <c r="AJ11" s="68"/>
      <c r="AK11" s="68"/>
      <c r="AL11" s="68"/>
      <c r="AM11" s="68"/>
      <c r="AN11" s="68"/>
      <c r="AO11" s="68"/>
      <c r="AP11" s="68"/>
      <c r="AQ11" s="68"/>
      <c r="AR11" s="68"/>
      <c r="AS11" s="68"/>
    </row>
    <row r="12" spans="1:45" ht="14.25" customHeight="1">
      <c r="A12" s="12"/>
      <c r="C12" s="24"/>
      <c r="D12" s="240" t="s">
        <v>105</v>
      </c>
      <c r="E12" s="393" t="s">
        <v>18</v>
      </c>
      <c r="F12" s="483"/>
      <c r="G12" s="484"/>
      <c r="H12" s="357"/>
      <c r="I12" s="357"/>
      <c r="J12" s="239"/>
      <c r="K12" s="998"/>
      <c r="L12" s="238"/>
      <c r="M12" s="998"/>
      <c r="N12" s="239"/>
      <c r="O12" s="998"/>
      <c r="P12" s="239"/>
      <c r="Q12" s="998"/>
      <c r="R12" s="239"/>
      <c r="S12" s="482"/>
      <c r="T12" s="357"/>
      <c r="U12" s="239"/>
      <c r="V12" s="239"/>
      <c r="W12" s="464"/>
      <c r="X12" s="357"/>
      <c r="Y12" s="239"/>
      <c r="Z12" s="239"/>
      <c r="AA12" s="464"/>
      <c r="AB12" s="357"/>
      <c r="AC12" s="239"/>
      <c r="AD12" s="464"/>
      <c r="AE12" s="1236" t="s">
        <v>376</v>
      </c>
      <c r="AF12" s="1236" t="s">
        <v>377</v>
      </c>
      <c r="AG12" s="1236" t="s">
        <v>378</v>
      </c>
      <c r="AH12" s="1236" t="s">
        <v>379</v>
      </c>
      <c r="AI12" s="12"/>
      <c r="AP12" s="69" t="s">
        <v>380</v>
      </c>
      <c r="AQ12" s="69" t="s">
        <v>380</v>
      </c>
    </row>
    <row r="13" spans="1:45" ht="17.25" customHeight="1">
      <c r="A13" s="12"/>
      <c r="C13" s="24"/>
      <c r="D13" s="153"/>
      <c r="E13" s="496" t="str">
        <f>IF(TITLE_DIFFERENTIATION_TYPE="нет","","Добавить систему")</f>
        <v/>
      </c>
      <c r="F13" s="496" t="str">
        <f>IF(TITLE_DIFFERENTIATION_TYPE="нет","Добавить вид деятельности","")</f>
        <v>Добавить вид деятельности</v>
      </c>
      <c r="G13" s="180"/>
      <c r="H13" s="230"/>
      <c r="I13" s="230"/>
      <c r="J13" s="230"/>
      <c r="K13" s="230"/>
      <c r="L13" s="230"/>
      <c r="M13" s="230"/>
      <c r="N13" s="230"/>
      <c r="O13" s="230"/>
      <c r="P13" s="230"/>
      <c r="Q13" s="230"/>
      <c r="R13" s="230"/>
      <c r="S13" s="230"/>
      <c r="T13" s="230"/>
      <c r="U13" s="230"/>
      <c r="V13" s="230"/>
      <c r="W13" s="230"/>
      <c r="X13" s="230"/>
      <c r="Y13" s="230"/>
      <c r="Z13" s="230"/>
      <c r="AA13" s="230"/>
      <c r="AB13" s="230"/>
      <c r="AC13" s="230"/>
      <c r="AD13" s="485"/>
      <c r="AE13" s="1237"/>
      <c r="AF13" s="1237"/>
      <c r="AG13" s="1237"/>
      <c r="AH13" s="1237"/>
      <c r="AI13" s="12"/>
    </row>
    <row r="14" spans="1:45" ht="14.25" customHeight="1">
      <c r="AI14" s="12"/>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5FC6E-0E86-B451-FDAA-50D48D31EABD}">
  <sheetPr>
    <tabColor theme="3" tint="0.59999389629810485"/>
  </sheetPr>
  <dimension ref="A1:U17"/>
  <sheetViews>
    <sheetView showGridLines="0" topLeftCell="C5" zoomScale="90" workbookViewId="0"/>
  </sheetViews>
  <sheetFormatPr defaultColWidth="10.5703125" defaultRowHeight="14.25" customHeight="1"/>
  <cols>
    <col min="1" max="1" width="9.140625" style="9" hidden="1" customWidth="1"/>
    <col min="2" max="2" width="9.140625" style="12" hidden="1" customWidth="1"/>
    <col min="3" max="3" width="3.7109375" style="76" customWidth="1"/>
    <col min="4" max="4" width="5.5703125" style="12" customWidth="1"/>
    <col min="5" max="5" width="38.140625" style="12" customWidth="1"/>
    <col min="6" max="7" width="3.7109375" style="12" customWidth="1"/>
    <col min="8" max="8" width="38.28515625" style="12" customWidth="1"/>
    <col min="9" max="9" width="35.7109375" style="12" customWidth="1"/>
    <col min="10" max="10" width="103.7109375" style="12" customWidth="1"/>
    <col min="11" max="11" width="3.7109375" style="46" customWidth="1"/>
    <col min="12" max="14" width="10.5703125" style="68"/>
    <col min="15" max="15" width="13.7109375" style="68" customWidth="1"/>
    <col min="16" max="16" width="15.42578125" style="68" customWidth="1"/>
    <col min="17" max="17" width="16.28515625" style="68" customWidth="1"/>
    <col min="18" max="21" width="10.5703125" style="68"/>
  </cols>
  <sheetData>
    <row r="1" spans="1:21" ht="14.25" hidden="1" customHeight="1">
      <c r="E1" s="233"/>
      <c r="F1" s="233"/>
      <c r="G1" s="233"/>
      <c r="H1" s="1232" t="s">
        <v>351</v>
      </c>
      <c r="I1" s="1232"/>
    </row>
    <row r="2" spans="1:21" s="12" customFormat="1" ht="14.25" hidden="1" customHeight="1">
      <c r="C2" s="24"/>
      <c r="D2" s="1245" t="s">
        <v>105</v>
      </c>
      <c r="E2" s="1247"/>
      <c r="F2" s="880"/>
      <c r="G2" s="44" t="s">
        <v>105</v>
      </c>
      <c r="H2" s="215"/>
      <c r="I2" s="881"/>
      <c r="L2" s="68"/>
      <c r="M2" s="68"/>
      <c r="N2" s="68"/>
      <c r="O2" s="68" t="s">
        <v>381</v>
      </c>
      <c r="P2" s="68"/>
      <c r="Q2" s="68"/>
      <c r="R2" s="69" t="s">
        <v>380</v>
      </c>
      <c r="S2" s="69" t="s">
        <v>380</v>
      </c>
      <c r="T2" s="68"/>
      <c r="U2" s="68"/>
    </row>
    <row r="3" spans="1:21" s="12" customFormat="1" ht="14.25" hidden="1" customHeight="1">
      <c r="C3" s="24"/>
      <c r="D3" s="1246"/>
      <c r="E3" s="1248"/>
      <c r="F3" s="153"/>
      <c r="G3" s="496"/>
      <c r="H3" s="496" t="s">
        <v>382</v>
      </c>
      <c r="I3" s="180"/>
      <c r="L3" s="68"/>
      <c r="M3" s="68"/>
      <c r="N3" s="68"/>
      <c r="O3" s="68"/>
      <c r="P3" s="68"/>
      <c r="Q3" s="68"/>
      <c r="R3" s="69"/>
      <c r="S3" s="69"/>
      <c r="T3" s="68"/>
      <c r="U3" s="68"/>
    </row>
    <row r="4" spans="1:21" ht="14.25" hidden="1" customHeight="1"/>
    <row r="5" spans="1:21" s="395" customFormat="1" ht="6" customHeight="1">
      <c r="C5" s="396"/>
      <c r="D5" s="397"/>
      <c r="E5" s="397"/>
      <c r="F5" s="397"/>
      <c r="G5" s="397"/>
      <c r="H5" s="397" t="s">
        <v>355</v>
      </c>
      <c r="I5" s="397"/>
      <c r="J5" s="397"/>
      <c r="L5" s="68"/>
      <c r="M5" s="68"/>
      <c r="N5" s="68"/>
      <c r="O5" s="68"/>
      <c r="P5" s="68"/>
      <c r="Q5" s="68"/>
      <c r="R5" s="68"/>
      <c r="S5" s="68"/>
      <c r="T5" s="68"/>
      <c r="U5" s="68"/>
    </row>
    <row r="6" spans="1:21" ht="27.75" customHeight="1">
      <c r="C6" s="24"/>
      <c r="D6" s="1249" t="s">
        <v>383</v>
      </c>
      <c r="E6" s="1249"/>
      <c r="F6" s="1249"/>
      <c r="G6" s="1249"/>
      <c r="H6" s="1249"/>
      <c r="I6" s="1249"/>
      <c r="J6" s="279"/>
      <c r="K6" s="154"/>
    </row>
    <row r="7" spans="1:21" ht="17.25" customHeight="1">
      <c r="C7" s="24"/>
      <c r="D7" s="1194" t="str">
        <f>IF(org=0,"Не определено",org)</f>
        <v>АО "ХТК"</v>
      </c>
      <c r="E7" s="1194"/>
      <c r="F7" s="1194"/>
      <c r="G7" s="1194"/>
      <c r="H7" s="1194"/>
      <c r="I7" s="1194"/>
      <c r="J7" s="279"/>
      <c r="K7" s="154"/>
    </row>
    <row r="8" spans="1:21" s="134" customFormat="1" ht="6" customHeight="1">
      <c r="A8" s="272"/>
      <c r="C8" s="277"/>
      <c r="D8" s="276"/>
      <c r="E8" s="276"/>
      <c r="F8" s="276"/>
      <c r="G8" s="276"/>
      <c r="H8" s="276"/>
      <c r="I8" s="276"/>
      <c r="J8" s="276"/>
      <c r="L8" s="68"/>
      <c r="M8" s="68"/>
      <c r="N8" s="68"/>
      <c r="O8" s="68"/>
      <c r="P8" s="68"/>
      <c r="Q8" s="68"/>
      <c r="R8" s="68"/>
      <c r="S8" s="68"/>
      <c r="T8" s="68"/>
      <c r="U8" s="68"/>
    </row>
    <row r="9" spans="1:21" s="134" customFormat="1" ht="6" customHeight="1">
      <c r="A9" s="272"/>
      <c r="C9" s="277"/>
      <c r="D9" s="276"/>
      <c r="E9" s="276"/>
      <c r="F9" s="276"/>
      <c r="G9" s="276"/>
      <c r="H9" s="276"/>
      <c r="I9" s="276"/>
      <c r="J9" s="276"/>
      <c r="L9" s="68"/>
      <c r="M9" s="68"/>
      <c r="N9" s="68"/>
      <c r="O9" s="68"/>
      <c r="P9" s="68"/>
      <c r="Q9" s="68"/>
      <c r="R9" s="68"/>
      <c r="S9" s="68"/>
      <c r="T9" s="68"/>
      <c r="U9" s="68"/>
    </row>
    <row r="10" spans="1:21" ht="14.25" customHeight="1">
      <c r="C10" s="24"/>
      <c r="D10" s="1233" t="s">
        <v>299</v>
      </c>
      <c r="E10" s="1234"/>
      <c r="F10" s="1234"/>
      <c r="G10" s="1234"/>
      <c r="H10" s="1234"/>
      <c r="I10" s="1234"/>
      <c r="J10" s="1173" t="s">
        <v>300</v>
      </c>
    </row>
    <row r="11" spans="1:21" ht="25.5" customHeight="1">
      <c r="C11" s="24"/>
      <c r="D11" s="1146" t="s">
        <v>84</v>
      </c>
      <c r="E11" s="1173" t="s">
        <v>101</v>
      </c>
      <c r="F11" s="1210" t="s">
        <v>84</v>
      </c>
      <c r="G11" s="1211"/>
      <c r="H11" s="1193" t="s">
        <v>384</v>
      </c>
      <c r="I11" s="1193" t="s">
        <v>385</v>
      </c>
      <c r="J11" s="1173"/>
    </row>
    <row r="12" spans="1:21" ht="14.25" customHeight="1">
      <c r="C12" s="24"/>
      <c r="D12" s="1146"/>
      <c r="E12" s="1173"/>
      <c r="F12" s="1215"/>
      <c r="G12" s="1216"/>
      <c r="H12" s="1244"/>
      <c r="I12" s="1244"/>
      <c r="J12" s="1173"/>
    </row>
    <row r="13" spans="1:21" s="201" customFormat="1" ht="11.25" hidden="1" customHeight="1">
      <c r="C13" s="284"/>
      <c r="D13" s="285" t="s">
        <v>375</v>
      </c>
      <c r="E13" s="285"/>
      <c r="F13" s="285"/>
      <c r="G13" s="285"/>
      <c r="H13" s="283"/>
      <c r="I13" s="283"/>
      <c r="J13" s="73"/>
      <c r="L13" s="68"/>
      <c r="M13" s="68"/>
      <c r="N13" s="68"/>
      <c r="O13" s="68"/>
      <c r="P13" s="68"/>
      <c r="Q13" s="68"/>
      <c r="R13" s="68"/>
      <c r="S13" s="68"/>
      <c r="T13" s="68"/>
      <c r="U13" s="68"/>
    </row>
    <row r="14" spans="1:21" ht="14.25" customHeight="1">
      <c r="A14" s="12"/>
      <c r="C14" s="24"/>
      <c r="D14" s="1245" t="s">
        <v>105</v>
      </c>
      <c r="E14" s="1247"/>
      <c r="F14" s="880"/>
      <c r="G14" s="44" t="s">
        <v>105</v>
      </c>
      <c r="H14" s="215"/>
      <c r="I14" s="881"/>
      <c r="J14" s="1187" t="s">
        <v>386</v>
      </c>
      <c r="K14" s="12"/>
      <c r="R14" s="69" t="s">
        <v>380</v>
      </c>
      <c r="S14" s="69" t="s">
        <v>380</v>
      </c>
    </row>
    <row r="15" spans="1:21" ht="14.25" customHeight="1">
      <c r="A15" s="12"/>
      <c r="C15" s="24"/>
      <c r="D15" s="1246"/>
      <c r="E15" s="1248"/>
      <c r="F15" s="153"/>
      <c r="G15" s="496"/>
      <c r="H15" s="496" t="s">
        <v>382</v>
      </c>
      <c r="I15" s="180"/>
      <c r="J15" s="1188"/>
      <c r="K15" s="12"/>
      <c r="R15" s="69"/>
      <c r="S15" s="69"/>
    </row>
    <row r="16" spans="1:21" ht="14.25" customHeight="1">
      <c r="A16" s="12"/>
      <c r="C16" s="24"/>
      <c r="D16" s="153"/>
      <c r="E16" s="496" t="s">
        <v>122</v>
      </c>
      <c r="F16" s="180"/>
      <c r="G16" s="180"/>
      <c r="H16" s="230"/>
      <c r="I16" s="230"/>
      <c r="J16" s="1189"/>
      <c r="K16" s="12"/>
    </row>
    <row r="17" spans="11:11" ht="14.25" customHeight="1">
      <c r="K17" s="12"/>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2EBFF-3526-26EE-B60C-AE0A43DEE20D}">
  <sheetPr>
    <tabColor theme="3" tint="0.59999389629810485"/>
  </sheetPr>
  <dimension ref="A1:V15"/>
  <sheetViews>
    <sheetView showGridLines="0" topLeftCell="D3" zoomScale="90" workbookViewId="0"/>
  </sheetViews>
  <sheetFormatPr defaultColWidth="10.5703125" defaultRowHeight="14.25" customHeight="1"/>
  <cols>
    <col min="1" max="1" width="9.140625" style="9" hidden="1" customWidth="1"/>
    <col min="2" max="3" width="9.140625" style="12" hidden="1" customWidth="1"/>
    <col min="4" max="4" width="3.7109375" style="76" customWidth="1"/>
    <col min="5" max="5" width="6.28515625" style="12" customWidth="1"/>
    <col min="6" max="6" width="1.7109375" style="12" hidden="1" customWidth="1"/>
    <col min="7" max="8" width="30.7109375" style="12" customWidth="1"/>
    <col min="9" max="9" width="9" style="12" customWidth="1"/>
    <col min="10" max="10" width="12.140625" style="12" customWidth="1"/>
    <col min="11" max="11" width="46.7109375" style="12" customWidth="1"/>
    <col min="12" max="12" width="100.28515625" style="12" customWidth="1"/>
    <col min="13" max="13" width="7.5703125" style="46" customWidth="1"/>
    <col min="14" max="22" width="10.5703125" style="12"/>
  </cols>
  <sheetData>
    <row r="1" spans="1:22" s="68" customFormat="1" ht="5.25" hidden="1" customHeight="1">
      <c r="D1" s="120"/>
      <c r="G1" s="68" t="s">
        <v>79</v>
      </c>
      <c r="H1" s="68" t="s">
        <v>80</v>
      </c>
      <c r="I1" s="68" t="s">
        <v>81</v>
      </c>
      <c r="P1" s="68" t="s">
        <v>79</v>
      </c>
      <c r="Q1" s="68" t="s">
        <v>80</v>
      </c>
      <c r="R1" s="68" t="s">
        <v>81</v>
      </c>
    </row>
    <row r="2" spans="1:22" s="68" customFormat="1" ht="5.25" hidden="1" customHeight="1">
      <c r="D2" s="120"/>
    </row>
    <row r="3" spans="1:22" s="134" customFormat="1" ht="6" customHeight="1">
      <c r="A3" s="272"/>
      <c r="D3" s="277"/>
      <c r="E3" s="132"/>
      <c r="F3" s="132"/>
      <c r="G3" s="132"/>
      <c r="H3" s="132"/>
      <c r="I3" s="273"/>
      <c r="J3" s="274"/>
      <c r="K3" s="274"/>
      <c r="L3" s="274"/>
    </row>
    <row r="4" spans="1:22" ht="22.5" customHeight="1">
      <c r="D4" s="24"/>
      <c r="E4" s="1139" t="s">
        <v>387</v>
      </c>
      <c r="F4" s="1139"/>
      <c r="G4" s="1140"/>
      <c r="H4" s="1140"/>
      <c r="I4" s="1141"/>
      <c r="J4" s="279"/>
      <c r="K4" s="251"/>
      <c r="L4" s="251"/>
    </row>
    <row r="5" spans="1:22" s="12" customFormat="1" ht="17.25" customHeight="1">
      <c r="A5" s="9"/>
      <c r="D5" s="24"/>
      <c r="E5" s="1229" t="str">
        <f>IF(org=0,"Не определено",org)</f>
        <v>АО "ХТК"</v>
      </c>
      <c r="F5" s="1229"/>
      <c r="G5" s="1230"/>
      <c r="H5" s="1230"/>
      <c r="I5" s="1231"/>
      <c r="J5" s="279"/>
      <c r="K5" s="251"/>
      <c r="L5" s="251"/>
      <c r="M5" s="46"/>
    </row>
    <row r="6" spans="1:22" s="134" customFormat="1" ht="11.25" customHeight="1">
      <c r="A6" s="272"/>
      <c r="D6" s="277"/>
      <c r="E6" s="132"/>
      <c r="F6" s="132"/>
      <c r="G6" s="275"/>
      <c r="H6" s="275"/>
      <c r="I6" s="276"/>
      <c r="J6" s="276"/>
      <c r="K6" s="426"/>
      <c r="L6" s="276"/>
    </row>
    <row r="7" spans="1:22" ht="14.25" customHeight="1">
      <c r="D7" s="24"/>
      <c r="E7" s="1223" t="s">
        <v>299</v>
      </c>
      <c r="F7" s="1223"/>
      <c r="G7" s="1224"/>
      <c r="H7" s="1224"/>
      <c r="I7" s="1224"/>
      <c r="J7" s="1224"/>
      <c r="K7" s="1224"/>
      <c r="L7" s="1173" t="s">
        <v>300</v>
      </c>
    </row>
    <row r="8" spans="1:22" ht="45" customHeight="1">
      <c r="D8" s="24"/>
      <c r="E8" s="37" t="s">
        <v>84</v>
      </c>
      <c r="F8" s="37"/>
      <c r="G8" s="42" t="s">
        <v>82</v>
      </c>
      <c r="H8" s="42" t="s">
        <v>83</v>
      </c>
      <c r="I8" s="40" t="s">
        <v>81</v>
      </c>
      <c r="J8" s="40" t="s">
        <v>388</v>
      </c>
      <c r="K8" s="40" t="s">
        <v>389</v>
      </c>
      <c r="L8" s="1173"/>
    </row>
    <row r="9" spans="1:22" ht="12" hidden="1" customHeight="1">
      <c r="D9" s="278"/>
      <c r="E9" s="281"/>
      <c r="F9" s="281"/>
      <c r="G9" s="281"/>
      <c r="H9" s="281"/>
      <c r="I9" s="281"/>
      <c r="J9" s="281"/>
      <c r="K9" s="281"/>
      <c r="L9" s="281"/>
      <c r="M9" s="12"/>
    </row>
    <row r="10" spans="1:22" ht="14.25" hidden="1" customHeight="1">
      <c r="A10" s="12"/>
      <c r="D10" s="24"/>
      <c r="E10" s="42">
        <v>0</v>
      </c>
      <c r="F10" s="42"/>
      <c r="G10" s="65"/>
      <c r="H10" s="65"/>
      <c r="I10" s="65"/>
      <c r="J10" s="65"/>
      <c r="K10" s="65"/>
      <c r="L10" s="1236" t="s">
        <v>390</v>
      </c>
    </row>
    <row r="11" spans="1:22" ht="15" hidden="1" customHeight="1">
      <c r="A11" s="1120"/>
      <c r="B11" s="35"/>
      <c r="C11" s="35"/>
      <c r="D11" s="492"/>
      <c r="E11" s="289"/>
      <c r="F11" s="289"/>
      <c r="G11" s="289"/>
      <c r="H11" s="289"/>
      <c r="I11" s="211"/>
      <c r="J11" s="290"/>
      <c r="K11" s="402"/>
      <c r="L11" s="1250"/>
      <c r="M11" s="68"/>
      <c r="N11" s="68"/>
      <c r="O11" s="68"/>
      <c r="P11" s="291"/>
      <c r="Q11" s="291"/>
      <c r="R11" s="292"/>
      <c r="S11" s="68"/>
      <c r="T11" s="68"/>
      <c r="U11" s="68"/>
      <c r="V11" s="68"/>
    </row>
    <row r="12" spans="1:22" s="134" customFormat="1" ht="14.25" customHeight="1">
      <c r="A12" s="1120"/>
      <c r="B12" s="35"/>
      <c r="C12" s="35"/>
      <c r="D12" s="493"/>
      <c r="E12" s="37">
        <v>1</v>
      </c>
      <c r="F12" s="491">
        <v>23</v>
      </c>
      <c r="G12" s="490"/>
      <c r="H12" s="446"/>
      <c r="I12" s="444"/>
      <c r="J12" s="294" t="s">
        <v>62</v>
      </c>
      <c r="K12" s="115" t="s">
        <v>18</v>
      </c>
      <c r="L12" s="1250"/>
      <c r="M12" s="68"/>
      <c r="N12" s="68"/>
      <c r="O12" s="68"/>
      <c r="P12" s="291" t="s">
        <v>391</v>
      </c>
      <c r="Q12" s="291" t="s">
        <v>392</v>
      </c>
      <c r="R12" s="292" t="s">
        <v>393</v>
      </c>
      <c r="S12" s="68" t="s">
        <v>394</v>
      </c>
      <c r="T12" s="68"/>
      <c r="U12" s="68"/>
      <c r="V12" s="68"/>
    </row>
    <row r="13" spans="1:22" ht="15" customHeight="1">
      <c r="A13" s="1120"/>
      <c r="D13" s="24"/>
      <c r="E13" s="153"/>
      <c r="F13" s="298"/>
      <c r="G13" s="53" t="s">
        <v>98</v>
      </c>
      <c r="H13" s="229"/>
      <c r="I13" s="229"/>
      <c r="J13" s="229"/>
      <c r="K13" s="228"/>
      <c r="L13" s="1237"/>
      <c r="M13" s="12"/>
    </row>
    <row r="14" spans="1:22" ht="11.25" customHeight="1">
      <c r="A14" s="272"/>
      <c r="B14" s="134"/>
      <c r="C14" s="134"/>
      <c r="D14" s="282"/>
      <c r="E14" s="134"/>
      <c r="F14" s="134"/>
      <c r="G14" s="134"/>
      <c r="H14" s="134"/>
      <c r="I14" s="134"/>
      <c r="J14" s="134"/>
      <c r="K14" s="134"/>
      <c r="L14" s="134"/>
      <c r="M14" s="134"/>
      <c r="N14" s="134"/>
      <c r="O14" s="134"/>
      <c r="P14" s="134"/>
      <c r="Q14" s="134"/>
      <c r="R14" s="134"/>
      <c r="S14" s="134"/>
      <c r="T14" s="134"/>
      <c r="U14" s="134"/>
      <c r="V14" s="134"/>
    </row>
    <row r="15" spans="1:22" ht="14.25" customHeight="1">
      <c r="D15" s="260"/>
      <c r="E15" s="196"/>
      <c r="F15" s="196"/>
      <c r="G15" s="3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60"/>
      <c r="I15" s="260"/>
      <c r="J15" s="260"/>
      <c r="K15" s="260"/>
      <c r="L15" s="260"/>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111AD-3064-98E9-7B58-9A62E017DF64}">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299" hidden="1" customWidth="1"/>
    <col min="13" max="14" width="12.28515625" style="497" hidden="1" customWidth="1"/>
    <col min="15" max="15" width="23.42578125" style="497" hidden="1" customWidth="1"/>
    <col min="16" max="16" width="3.7109375" style="34" customWidth="1"/>
    <col min="17" max="18" width="3.7109375" style="30" customWidth="1"/>
    <col min="19" max="19" width="12.7109375" style="334" customWidth="1"/>
    <col min="20" max="20" width="35.7109375" style="12" customWidth="1"/>
    <col min="21" max="21" width="0.140625" style="12" customWidth="1"/>
    <col min="22" max="22" width="24.7109375" style="12" hidden="1" customWidth="1"/>
    <col min="23" max="23" width="0.140625" style="12" hidden="1" customWidth="1"/>
    <col min="24" max="25" width="24.7109375" style="12" hidden="1" customWidth="1"/>
    <col min="26" max="26" width="11.7109375" style="12" hidden="1" customWidth="1"/>
    <col min="27" max="27" width="3.7109375" style="12" hidden="1" customWidth="1"/>
    <col min="28" max="28" width="11.7109375" style="12" hidden="1" customWidth="1"/>
    <col min="29" max="29" width="8.5703125" style="12" hidden="1" customWidth="1"/>
    <col min="30" max="30" width="24.7109375" style="12" customWidth="1"/>
    <col min="31" max="31" width="0.140625" style="12" customWidth="1"/>
    <col min="32" max="33" width="24.7109375" style="12" customWidth="1"/>
    <col min="34" max="34" width="11.7109375" style="12" customWidth="1"/>
    <col min="35" max="35" width="3.7109375" style="12" customWidth="1"/>
    <col min="36" max="36" width="11.7109375" style="12" customWidth="1"/>
    <col min="37" max="37" width="8.5703125" style="12" hidden="1" customWidth="1"/>
    <col min="38" max="38" width="4.7109375" style="12" customWidth="1"/>
    <col min="39" max="39" width="115.7109375" style="12" customWidth="1"/>
    <col min="40" max="41" width="10.5703125" style="68"/>
    <col min="42" max="42" width="11.140625" style="68" customWidth="1"/>
    <col min="43" max="44" width="10.5703125" style="68"/>
  </cols>
  <sheetData>
    <row r="1" spans="1:44" ht="14.25" hidden="1" customHeight="1"/>
    <row r="2" spans="1:44" ht="21" hidden="1" customHeight="1">
      <c r="A2" s="759"/>
      <c r="B2" s="759"/>
      <c r="C2" s="759"/>
      <c r="D2" s="759"/>
      <c r="E2" s="1265">
        <v>1</v>
      </c>
      <c r="F2" s="759"/>
      <c r="G2" s="759"/>
      <c r="H2" s="759"/>
      <c r="I2" s="759"/>
      <c r="J2" s="759"/>
      <c r="K2" s="759"/>
      <c r="L2" s="760"/>
      <c r="M2" s="417"/>
      <c r="N2" s="417"/>
      <c r="O2" s="417"/>
      <c r="Q2" s="35"/>
      <c r="R2" s="205"/>
      <c r="S2" s="698" t="e">
        <f>INDEX(PT_DIFFERENTIATION_NUM_NTAR,MATCH(A2,PT_DIFFERENTIATION_NTAR_ID,0))</f>
        <v>#N/A</v>
      </c>
      <c r="T2" s="67" t="s">
        <v>124</v>
      </c>
      <c r="U2" s="169"/>
      <c r="V2" s="1251"/>
      <c r="W2" s="1252"/>
      <c r="X2" s="1252"/>
      <c r="Y2" s="1252"/>
      <c r="Z2" s="1252"/>
      <c r="AA2" s="1252"/>
      <c r="AB2" s="1252"/>
      <c r="AC2" s="1253"/>
      <c r="AD2" s="1251" t="e">
        <f>INDEX(PT_DIFFERENTIATION_NTAR,MATCH(A2,PT_DIFFERENTIATION_NTAR_ID,0))</f>
        <v>#N/A</v>
      </c>
      <c r="AE2" s="1252"/>
      <c r="AF2" s="1252"/>
      <c r="AG2" s="1252"/>
      <c r="AH2" s="1252"/>
      <c r="AI2" s="1252"/>
      <c r="AJ2" s="1252"/>
      <c r="AK2" s="1252"/>
      <c r="AL2" s="1253"/>
      <c r="AM2" s="718" t="s">
        <v>395</v>
      </c>
      <c r="AO2" s="69"/>
      <c r="AP2" s="69" t="str">
        <f t="shared" ref="AP2:AP15" si="0">IF(T2="","",T2)</f>
        <v>Наименование тарифа</v>
      </c>
      <c r="AQ2" s="69"/>
      <c r="AR2" s="69"/>
    </row>
    <row r="3" spans="1:44" ht="21" hidden="1" customHeight="1">
      <c r="A3" s="759"/>
      <c r="B3" s="759"/>
      <c r="C3" s="759"/>
      <c r="D3" s="759"/>
      <c r="E3" s="1266"/>
      <c r="F3" s="1265">
        <v>1</v>
      </c>
      <c r="G3" s="759"/>
      <c r="H3" s="759"/>
      <c r="I3" s="759"/>
      <c r="J3" s="759"/>
      <c r="K3" s="759"/>
      <c r="L3" s="760"/>
      <c r="M3" s="417"/>
      <c r="N3" s="417"/>
      <c r="O3" s="417"/>
      <c r="P3" s="59"/>
      <c r="Q3" s="202"/>
      <c r="R3" s="203"/>
      <c r="S3" s="698" t="e">
        <f>INDEX(PT_DIFFERENTIATION_NUM_TER,MATCH(B3,PT_DIFFERENTIATION_TER_ID,0))</f>
        <v>#N/A</v>
      </c>
      <c r="T3" s="175" t="s">
        <v>396</v>
      </c>
      <c r="U3" s="169"/>
      <c r="V3" s="1251"/>
      <c r="W3" s="1252"/>
      <c r="X3" s="1252"/>
      <c r="Y3" s="1252"/>
      <c r="Z3" s="1252"/>
      <c r="AA3" s="1252"/>
      <c r="AB3" s="1252"/>
      <c r="AC3" s="1253"/>
      <c r="AD3" s="1251" t="e">
        <f>INDEX(PT_DIFFERENTIATION_TER,MATCH(B3,PT_DIFFERENTIATION_TER_ID,0))</f>
        <v>#N/A</v>
      </c>
      <c r="AE3" s="1252"/>
      <c r="AF3" s="1252"/>
      <c r="AG3" s="1252"/>
      <c r="AH3" s="1252"/>
      <c r="AI3" s="1252"/>
      <c r="AJ3" s="1252"/>
      <c r="AK3" s="1252"/>
      <c r="AL3" s="1253"/>
      <c r="AM3" s="718" t="s">
        <v>397</v>
      </c>
      <c r="AO3" s="69"/>
      <c r="AP3" s="69" t="str">
        <f t="shared" si="0"/>
        <v>Территория действия тарифа</v>
      </c>
      <c r="AQ3" s="69"/>
      <c r="AR3" s="69"/>
    </row>
    <row r="4" spans="1:44" ht="23.25" hidden="1" customHeight="1">
      <c r="A4" s="759"/>
      <c r="B4" s="759"/>
      <c r="C4" s="759"/>
      <c r="D4" s="759"/>
      <c r="E4" s="1266"/>
      <c r="F4" s="1266"/>
      <c r="G4" s="1265">
        <v>1</v>
      </c>
      <c r="H4" s="759"/>
      <c r="I4" s="759"/>
      <c r="J4" s="759"/>
      <c r="K4" s="759"/>
      <c r="L4" s="760"/>
      <c r="M4" s="417"/>
      <c r="N4" s="417"/>
      <c r="O4" s="417"/>
      <c r="P4" s="204"/>
      <c r="Q4" s="202"/>
      <c r="R4" s="203"/>
      <c r="S4" s="698" t="e">
        <f>INDEX(PT_DIFFERENTIATION_NUM_CS,MATCH(C4,PT_DIFFERENTIATION_CS_ID,0))</f>
        <v>#N/A</v>
      </c>
      <c r="T4" s="176" t="s">
        <v>398</v>
      </c>
      <c r="U4" s="169"/>
      <c r="V4" s="1251"/>
      <c r="W4" s="1252"/>
      <c r="X4" s="1252"/>
      <c r="Y4" s="1252"/>
      <c r="Z4" s="1252"/>
      <c r="AA4" s="1252"/>
      <c r="AB4" s="1252"/>
      <c r="AC4" s="1253"/>
      <c r="AD4" s="1251" t="e">
        <f>INDEX(PT_DIFFERENTIATION_CS,MATCH(C4,PT_DIFFERENTIATION_CS_ID,0))</f>
        <v>#N/A</v>
      </c>
      <c r="AE4" s="1252"/>
      <c r="AF4" s="1252"/>
      <c r="AG4" s="1252"/>
      <c r="AH4" s="1252"/>
      <c r="AI4" s="1252"/>
      <c r="AJ4" s="1252"/>
      <c r="AK4" s="1252"/>
      <c r="AL4" s="1253"/>
      <c r="AM4" s="718" t="s">
        <v>399</v>
      </c>
      <c r="AO4" s="69"/>
      <c r="AP4" s="69" t="str">
        <f t="shared" si="0"/>
        <v xml:space="preserve">Наименование системы теплоснабжения </v>
      </c>
      <c r="AQ4" s="69"/>
      <c r="AR4" s="69"/>
    </row>
    <row r="5" spans="1:44" ht="21" hidden="1" customHeight="1">
      <c r="A5" s="759"/>
      <c r="B5" s="759"/>
      <c r="C5" s="759"/>
      <c r="D5" s="759"/>
      <c r="E5" s="1266"/>
      <c r="F5" s="1266"/>
      <c r="G5" s="1266"/>
      <c r="H5" s="1265">
        <v>1</v>
      </c>
      <c r="I5" s="759"/>
      <c r="J5" s="759"/>
      <c r="K5" s="759"/>
      <c r="L5" s="760"/>
      <c r="M5" s="417"/>
      <c r="N5" s="417"/>
      <c r="O5" s="417"/>
      <c r="P5" s="204"/>
      <c r="Q5" s="202"/>
      <c r="R5" s="203"/>
      <c r="S5" s="698" t="e">
        <f>INDEX(PT_DIFFERENTIATION_NUM_IST_TE,MATCH(D5,PT_DIFFERENTIATION_IST_TE_ID,0))</f>
        <v>#N/A</v>
      </c>
      <c r="T5" s="177" t="s">
        <v>400</v>
      </c>
      <c r="U5" s="169"/>
      <c r="V5" s="1251"/>
      <c r="W5" s="1252"/>
      <c r="X5" s="1252"/>
      <c r="Y5" s="1252"/>
      <c r="Z5" s="1252"/>
      <c r="AA5" s="1252"/>
      <c r="AB5" s="1252"/>
      <c r="AC5" s="1253"/>
      <c r="AD5" s="1251" t="e">
        <f>INDEX(PT_DIFFERENTIATION_IST_TE,MATCH(D5,PT_DIFFERENTIATION_IST_TE_ID,0))</f>
        <v>#N/A</v>
      </c>
      <c r="AE5" s="1252"/>
      <c r="AF5" s="1252"/>
      <c r="AG5" s="1252"/>
      <c r="AH5" s="1252"/>
      <c r="AI5" s="1252"/>
      <c r="AJ5" s="1252"/>
      <c r="AK5" s="1252"/>
      <c r="AL5" s="1253"/>
      <c r="AM5" s="718" t="s">
        <v>401</v>
      </c>
      <c r="AO5" s="69"/>
      <c r="AP5" s="69" t="str">
        <f t="shared" si="0"/>
        <v xml:space="preserve">Источник тепловой энергии  </v>
      </c>
      <c r="AQ5" s="69"/>
      <c r="AR5" s="69"/>
    </row>
    <row r="6" spans="1:44" ht="47.25" hidden="1" customHeight="1">
      <c r="A6" s="759"/>
      <c r="B6" s="759"/>
      <c r="C6" s="759"/>
      <c r="D6" s="759"/>
      <c r="E6" s="1266"/>
      <c r="F6" s="1266"/>
      <c r="G6" s="1266"/>
      <c r="H6" s="1266"/>
      <c r="I6" s="1263" t="e">
        <f>S5&amp;".1"</f>
        <v>#N/A</v>
      </c>
      <c r="J6" s="759"/>
      <c r="K6" s="759"/>
      <c r="L6" s="760" t="s">
        <v>402</v>
      </c>
      <c r="M6" s="63"/>
      <c r="P6" s="1264">
        <v>1</v>
      </c>
      <c r="Q6" s="120"/>
      <c r="R6" s="206"/>
      <c r="S6" s="698" t="e">
        <f>$I6</f>
        <v>#N/A</v>
      </c>
      <c r="T6" s="162" t="s">
        <v>403</v>
      </c>
      <c r="U6" s="169"/>
      <c r="V6" s="1254"/>
      <c r="W6" s="1255"/>
      <c r="X6" s="1255"/>
      <c r="Y6" s="1255"/>
      <c r="Z6" s="1255"/>
      <c r="AA6" s="1255"/>
      <c r="AB6" s="1255"/>
      <c r="AC6" s="1256"/>
      <c r="AD6" s="1254"/>
      <c r="AE6" s="1255"/>
      <c r="AF6" s="1255"/>
      <c r="AG6" s="1255"/>
      <c r="AH6" s="1255"/>
      <c r="AI6" s="1255"/>
      <c r="AJ6" s="1255"/>
      <c r="AK6" s="1255"/>
      <c r="AL6" s="1256"/>
      <c r="AM6" s="718" t="s">
        <v>404</v>
      </c>
      <c r="AO6" s="69"/>
      <c r="AP6" s="69" t="str">
        <f t="shared" si="0"/>
        <v>Схема подключения теплопотребляющей установки к коллектору источника тепловой энергии</v>
      </c>
      <c r="AQ6" s="69"/>
      <c r="AR6" s="69"/>
    </row>
    <row r="7" spans="1:44" ht="21" hidden="1" customHeight="1">
      <c r="A7" s="759"/>
      <c r="B7" s="759"/>
      <c r="C7" s="759"/>
      <c r="D7" s="759"/>
      <c r="E7" s="1266"/>
      <c r="F7" s="1266"/>
      <c r="G7" s="1266"/>
      <c r="H7" s="1266"/>
      <c r="I7" s="1286"/>
      <c r="J7" s="1263" t="e">
        <f>I6&amp;".1"</f>
        <v>#N/A</v>
      </c>
      <c r="K7" s="759"/>
      <c r="L7" s="760" t="s">
        <v>405</v>
      </c>
      <c r="M7" s="63"/>
      <c r="N7" s="63"/>
      <c r="P7" s="1264"/>
      <c r="Q7" s="1264">
        <v>1</v>
      </c>
      <c r="R7" s="207"/>
      <c r="S7" s="698" t="e">
        <f>$J7</f>
        <v>#N/A</v>
      </c>
      <c r="T7" s="163" t="s">
        <v>406</v>
      </c>
      <c r="U7" s="169"/>
      <c r="V7" s="1254"/>
      <c r="W7" s="1255"/>
      <c r="X7" s="1255"/>
      <c r="Y7" s="1255"/>
      <c r="Z7" s="1255"/>
      <c r="AA7" s="1255"/>
      <c r="AB7" s="1255"/>
      <c r="AC7" s="1256"/>
      <c r="AD7" s="1254"/>
      <c r="AE7" s="1255"/>
      <c r="AF7" s="1255"/>
      <c r="AG7" s="1255"/>
      <c r="AH7" s="1255"/>
      <c r="AI7" s="1255"/>
      <c r="AJ7" s="1255"/>
      <c r="AK7" s="1255"/>
      <c r="AL7" s="1256"/>
      <c r="AM7" s="718" t="s">
        <v>407</v>
      </c>
      <c r="AO7" s="69"/>
      <c r="AP7" s="69" t="str">
        <f t="shared" si="0"/>
        <v>Группа потребителей</v>
      </c>
      <c r="AQ7" s="69"/>
      <c r="AR7" s="69"/>
    </row>
    <row r="8" spans="1:44" ht="21" hidden="1" customHeight="1">
      <c r="A8" s="759"/>
      <c r="B8" s="759"/>
      <c r="C8" s="759"/>
      <c r="D8" s="759"/>
      <c r="E8" s="1266"/>
      <c r="F8" s="1266"/>
      <c r="G8" s="1266"/>
      <c r="H8" s="1266"/>
      <c r="I8" s="1286"/>
      <c r="J8" s="1286"/>
      <c r="K8" s="1263" t="e">
        <f>J7&amp;".1"</f>
        <v>#N/A</v>
      </c>
      <c r="L8" s="760" t="s">
        <v>408</v>
      </c>
      <c r="M8" s="63"/>
      <c r="N8" s="63"/>
      <c r="O8" s="63"/>
      <c r="P8" s="1264"/>
      <c r="Q8" s="1264"/>
      <c r="R8" s="207">
        <v>1</v>
      </c>
      <c r="S8" s="698" t="e">
        <f>$K8</f>
        <v>#N/A</v>
      </c>
      <c r="T8" s="755"/>
      <c r="U8" s="169"/>
      <c r="V8" s="304"/>
      <c r="W8" s="189"/>
      <c r="X8" s="304"/>
      <c r="Y8" s="717"/>
      <c r="Z8" s="1268"/>
      <c r="AA8" s="1127" t="s">
        <v>62</v>
      </c>
      <c r="AB8" s="1268"/>
      <c r="AC8" s="1127" t="s">
        <v>62</v>
      </c>
      <c r="AD8" s="304"/>
      <c r="AE8" s="189"/>
      <c r="AF8" s="304"/>
      <c r="AG8" s="717"/>
      <c r="AH8" s="1268"/>
      <c r="AI8" s="1127" t="s">
        <v>62</v>
      </c>
      <c r="AJ8" s="1268"/>
      <c r="AK8" s="1127" t="s">
        <v>62</v>
      </c>
      <c r="AL8" s="189"/>
      <c r="AM8" s="1260" t="s">
        <v>409</v>
      </c>
      <c r="AN8" s="68" t="e">
        <f ca="1">STRCHECKDATE(V9:AL9)</f>
        <v>#NAME?</v>
      </c>
      <c r="AO8" s="69"/>
      <c r="AP8" s="69" t="str">
        <f t="shared" si="0"/>
        <v/>
      </c>
      <c r="AQ8" s="69"/>
      <c r="AR8" s="69"/>
    </row>
    <row r="9" spans="1:44" ht="0.75" hidden="1" customHeight="1">
      <c r="A9" s="759"/>
      <c r="B9" s="759"/>
      <c r="C9" s="759"/>
      <c r="D9" s="759"/>
      <c r="E9" s="1266"/>
      <c r="F9" s="1266"/>
      <c r="G9" s="1266"/>
      <c r="H9" s="1266"/>
      <c r="I9" s="1286"/>
      <c r="J9" s="1286"/>
      <c r="K9" s="1263"/>
      <c r="L9" s="760"/>
      <c r="M9" s="63"/>
      <c r="N9" s="63"/>
      <c r="O9" s="63"/>
      <c r="P9" s="1264"/>
      <c r="Q9" s="1264"/>
      <c r="R9" s="207"/>
      <c r="S9" s="65"/>
      <c r="T9" s="169"/>
      <c r="U9" s="169"/>
      <c r="V9" s="189"/>
      <c r="W9" s="189"/>
      <c r="X9" s="189"/>
      <c r="Y9" s="190" t="str">
        <f>Z8&amp;"-"&amp;AB8</f>
        <v>-</v>
      </c>
      <c r="Z9" s="1269"/>
      <c r="AA9" s="1127"/>
      <c r="AB9" s="1269"/>
      <c r="AC9" s="1127"/>
      <c r="AD9" s="189"/>
      <c r="AE9" s="189"/>
      <c r="AF9" s="189"/>
      <c r="AG9" s="190" t="str">
        <f>AH8&amp;"-"&amp;AJ8</f>
        <v>-</v>
      </c>
      <c r="AH9" s="1269"/>
      <c r="AI9" s="1127"/>
      <c r="AJ9" s="1269"/>
      <c r="AK9" s="1127"/>
      <c r="AL9" s="189"/>
      <c r="AM9" s="1261"/>
      <c r="AO9" s="69"/>
      <c r="AP9" s="69" t="str">
        <f t="shared" si="0"/>
        <v/>
      </c>
      <c r="AQ9" s="69"/>
      <c r="AR9" s="69"/>
    </row>
    <row r="10" spans="1:44" ht="15" hidden="1" customHeight="1">
      <c r="A10" s="759"/>
      <c r="B10" s="759"/>
      <c r="C10" s="759"/>
      <c r="D10" s="759"/>
      <c r="E10" s="1266"/>
      <c r="F10" s="1266"/>
      <c r="G10" s="1266"/>
      <c r="H10" s="1266"/>
      <c r="I10" s="1286"/>
      <c r="J10" s="1263"/>
      <c r="K10" s="759"/>
      <c r="L10" s="760"/>
      <c r="M10" s="63"/>
      <c r="N10" s="63"/>
      <c r="P10" s="1264"/>
      <c r="Q10" s="1264"/>
      <c r="R10" s="206"/>
      <c r="S10" s="732"/>
      <c r="T10" s="165" t="s">
        <v>410</v>
      </c>
      <c r="U10" s="211"/>
      <c r="V10" s="211"/>
      <c r="W10" s="211"/>
      <c r="X10" s="211"/>
      <c r="Y10" s="211"/>
      <c r="Z10" s="211"/>
      <c r="AA10" s="211"/>
      <c r="AB10" s="211"/>
      <c r="AC10" s="211"/>
      <c r="AD10" s="211"/>
      <c r="AE10" s="211"/>
      <c r="AF10" s="211"/>
      <c r="AG10" s="211"/>
      <c r="AH10" s="211"/>
      <c r="AI10" s="211"/>
      <c r="AJ10" s="211"/>
      <c r="AK10" s="211"/>
      <c r="AL10" s="188"/>
      <c r="AM10" s="1262"/>
      <c r="AO10" s="69"/>
      <c r="AP10" s="69" t="str">
        <f t="shared" si="0"/>
        <v>Добавить вид теплоносителя (параметры теплоносителя)</v>
      </c>
      <c r="AQ10" s="69"/>
      <c r="AR10" s="69"/>
    </row>
    <row r="11" spans="1:44" ht="15" hidden="1" customHeight="1">
      <c r="A11" s="759"/>
      <c r="B11" s="759"/>
      <c r="C11" s="759"/>
      <c r="D11" s="759"/>
      <c r="E11" s="1266"/>
      <c r="F11" s="1266"/>
      <c r="G11" s="1266"/>
      <c r="H11" s="1266"/>
      <c r="I11" s="1263"/>
      <c r="J11" s="759"/>
      <c r="K11" s="759"/>
      <c r="L11" s="760"/>
      <c r="M11" s="63"/>
      <c r="P11" s="1264"/>
      <c r="Q11" s="120"/>
      <c r="R11" s="206"/>
      <c r="S11" s="732"/>
      <c r="T11" s="164" t="s">
        <v>411</v>
      </c>
      <c r="U11" s="211"/>
      <c r="V11" s="211"/>
      <c r="W11" s="211"/>
      <c r="X11" s="211"/>
      <c r="Y11" s="211"/>
      <c r="Z11" s="211"/>
      <c r="AA11" s="211"/>
      <c r="AB11" s="211"/>
      <c r="AC11" s="210"/>
      <c r="AD11" s="211"/>
      <c r="AE11" s="211"/>
      <c r="AF11" s="211"/>
      <c r="AG11" s="211"/>
      <c r="AH11" s="211"/>
      <c r="AI11" s="211"/>
      <c r="AJ11" s="211"/>
      <c r="AK11" s="210"/>
      <c r="AL11" s="211"/>
      <c r="AM11" s="172"/>
      <c r="AO11" s="69"/>
      <c r="AP11" s="69" t="str">
        <f t="shared" si="0"/>
        <v>Добавить группу потребителей</v>
      </c>
      <c r="AQ11" s="69"/>
      <c r="AR11" s="69"/>
    </row>
    <row r="12" spans="1:44" ht="14.25" hidden="1" customHeight="1">
      <c r="A12" s="759"/>
      <c r="B12" s="759"/>
      <c r="C12" s="759"/>
      <c r="D12" s="759"/>
      <c r="E12" s="1266"/>
      <c r="F12" s="1266"/>
      <c r="G12" s="1266"/>
      <c r="H12" s="1265"/>
      <c r="I12" s="759"/>
      <c r="J12" s="759"/>
      <c r="K12" s="759"/>
      <c r="L12" s="760"/>
      <c r="M12" s="417"/>
      <c r="N12" s="417"/>
      <c r="O12" s="63"/>
      <c r="P12" s="35"/>
      <c r="Q12" s="214"/>
      <c r="R12" s="205"/>
      <c r="S12" s="732"/>
      <c r="T12" s="209" t="s">
        <v>412</v>
      </c>
      <c r="U12" s="211"/>
      <c r="V12" s="211"/>
      <c r="W12" s="211"/>
      <c r="X12" s="211"/>
      <c r="Y12" s="211"/>
      <c r="Z12" s="211"/>
      <c r="AA12" s="211"/>
      <c r="AB12" s="211"/>
      <c r="AC12" s="210"/>
      <c r="AD12" s="211"/>
      <c r="AE12" s="211"/>
      <c r="AF12" s="211"/>
      <c r="AG12" s="211"/>
      <c r="AH12" s="211"/>
      <c r="AI12" s="211"/>
      <c r="AJ12" s="211"/>
      <c r="AK12" s="210"/>
      <c r="AL12" s="211"/>
      <c r="AM12" s="172"/>
      <c r="AO12" s="69"/>
      <c r="AP12" s="69" t="str">
        <f t="shared" si="0"/>
        <v>Добавить схему подключения</v>
      </c>
      <c r="AQ12" s="69"/>
      <c r="AR12" s="69"/>
    </row>
    <row r="13" spans="1:44" s="68" customFormat="1" ht="0.75" hidden="1" customHeight="1">
      <c r="A13" s="143"/>
      <c r="B13" s="143"/>
      <c r="C13" s="143"/>
      <c r="D13" s="143"/>
      <c r="E13" s="1266"/>
      <c r="F13" s="1266"/>
      <c r="G13" s="1265"/>
      <c r="H13" s="143"/>
      <c r="I13" s="143"/>
      <c r="J13" s="143"/>
      <c r="K13" s="143"/>
      <c r="L13" s="338"/>
      <c r="M13" s="291"/>
      <c r="N13" s="291"/>
      <c r="P13" s="102"/>
      <c r="Q13" s="745"/>
      <c r="R13" s="102"/>
      <c r="S13" s="746"/>
      <c r="T13" s="747" t="s">
        <v>413</v>
      </c>
      <c r="U13" s="748"/>
      <c r="V13" s="748"/>
      <c r="W13" s="748"/>
      <c r="X13" s="748"/>
      <c r="Y13" s="748"/>
      <c r="Z13" s="748"/>
      <c r="AA13" s="748"/>
      <c r="AB13" s="748"/>
      <c r="AC13" s="748"/>
      <c r="AD13" s="748"/>
      <c r="AE13" s="748"/>
      <c r="AF13" s="748"/>
      <c r="AG13" s="748"/>
      <c r="AH13" s="748"/>
      <c r="AI13" s="748"/>
      <c r="AJ13" s="748"/>
      <c r="AK13" s="748"/>
      <c r="AL13" s="748"/>
      <c r="AM13" s="748"/>
      <c r="AO13" s="69"/>
      <c r="AP13" s="69" t="str">
        <f t="shared" si="0"/>
        <v>Добавить источник для дифференциации</v>
      </c>
      <c r="AQ13" s="69"/>
      <c r="AR13" s="69"/>
    </row>
    <row r="14" spans="1:44" s="68" customFormat="1" ht="0.75" hidden="1" customHeight="1">
      <c r="A14" s="143"/>
      <c r="B14" s="143"/>
      <c r="C14" s="143"/>
      <c r="D14" s="143"/>
      <c r="E14" s="1266"/>
      <c r="F14" s="1265"/>
      <c r="G14" s="143"/>
      <c r="H14" s="143"/>
      <c r="I14" s="143"/>
      <c r="J14" s="143"/>
      <c r="K14" s="143"/>
      <c r="L14" s="338"/>
      <c r="M14" s="749"/>
      <c r="N14" s="749"/>
      <c r="P14" s="102"/>
      <c r="Q14" s="745"/>
      <c r="R14" s="102"/>
      <c r="S14" s="750"/>
      <c r="T14" s="751" t="s">
        <v>414</v>
      </c>
      <c r="U14" s="311"/>
      <c r="V14" s="311"/>
      <c r="W14" s="311"/>
      <c r="X14" s="311"/>
      <c r="Y14" s="311"/>
      <c r="Z14" s="311"/>
      <c r="AA14" s="311"/>
      <c r="AB14" s="311"/>
      <c r="AC14" s="311"/>
      <c r="AD14" s="311"/>
      <c r="AE14" s="311"/>
      <c r="AF14" s="311"/>
      <c r="AG14" s="311"/>
      <c r="AH14" s="311"/>
      <c r="AI14" s="311"/>
      <c r="AJ14" s="311"/>
      <c r="AK14" s="311"/>
      <c r="AL14" s="311"/>
      <c r="AM14" s="311"/>
      <c r="AO14" s="69"/>
      <c r="AP14" s="69" t="str">
        <f t="shared" si="0"/>
        <v>Добавить централизованную систему для дифференциации</v>
      </c>
      <c r="AQ14" s="69"/>
      <c r="AR14" s="69"/>
    </row>
    <row r="15" spans="1:44" s="68" customFormat="1" ht="0.75" hidden="1" customHeight="1">
      <c r="A15" s="143"/>
      <c r="B15" s="143"/>
      <c r="C15" s="143"/>
      <c r="D15" s="143"/>
      <c r="E15" s="1265"/>
      <c r="F15" s="143"/>
      <c r="G15" s="143"/>
      <c r="H15" s="143"/>
      <c r="I15" s="143"/>
      <c r="J15" s="143"/>
      <c r="K15" s="143"/>
      <c r="L15" s="338"/>
      <c r="M15" s="749"/>
      <c r="N15" s="749"/>
      <c r="P15" s="102"/>
      <c r="Q15" s="745"/>
      <c r="R15" s="102"/>
      <c r="S15" s="750"/>
      <c r="T15" s="752" t="s">
        <v>415</v>
      </c>
      <c r="U15" s="311"/>
      <c r="V15" s="311"/>
      <c r="W15" s="311"/>
      <c r="X15" s="311"/>
      <c r="Y15" s="311"/>
      <c r="Z15" s="311"/>
      <c r="AA15" s="311"/>
      <c r="AB15" s="311"/>
      <c r="AC15" s="311"/>
      <c r="AD15" s="311"/>
      <c r="AE15" s="311"/>
      <c r="AF15" s="311"/>
      <c r="AG15" s="311"/>
      <c r="AH15" s="311"/>
      <c r="AI15" s="311"/>
      <c r="AJ15" s="311"/>
      <c r="AK15" s="311"/>
      <c r="AL15" s="311"/>
      <c r="AM15" s="311"/>
      <c r="AO15" s="69"/>
      <c r="AP15" s="69" t="str">
        <f t="shared" si="0"/>
        <v>Добавить территорию для дифференциации</v>
      </c>
      <c r="AQ15" s="69"/>
      <c r="AR15" s="69"/>
    </row>
    <row r="16" spans="1:44" ht="14.25" hidden="1" customHeight="1"/>
    <row r="17" spans="1:44" ht="14.25" hidden="1" customHeight="1">
      <c r="AD17" s="359"/>
      <c r="AE17" s="359"/>
      <c r="AF17" s="359"/>
      <c r="AG17" s="758"/>
      <c r="AH17" s="1270"/>
      <c r="AI17" s="1271" t="s">
        <v>62</v>
      </c>
      <c r="AJ17" s="1270"/>
      <c r="AK17" s="1271" t="s">
        <v>62</v>
      </c>
    </row>
    <row r="18" spans="1:44" ht="14.25" hidden="1" customHeight="1">
      <c r="AD18" s="359"/>
      <c r="AE18" s="359"/>
      <c r="AF18" s="359"/>
      <c r="AG18" s="190" t="str">
        <f>AH17&amp;"-"&amp;AJ17</f>
        <v>-</v>
      </c>
      <c r="AH18" s="1271"/>
      <c r="AI18" s="1271"/>
      <c r="AJ18" s="1271"/>
      <c r="AK18" s="1271"/>
    </row>
    <row r="19" spans="1:44" ht="14.25" hidden="1" customHeight="1"/>
    <row r="20" spans="1:44" s="63" customFormat="1" ht="22.5" hidden="1" customHeight="1">
      <c r="L20" s="299"/>
      <c r="M20" s="497"/>
      <c r="N20" s="497"/>
      <c r="O20" s="761" t="s">
        <v>416</v>
      </c>
      <c r="P20" s="497"/>
      <c r="Q20" s="762"/>
      <c r="R20" s="762"/>
      <c r="S20" s="417"/>
      <c r="Z20" s="761"/>
      <c r="AB20" s="761"/>
      <c r="AH20" s="761"/>
      <c r="AJ20" s="761"/>
      <c r="AN20" s="68"/>
      <c r="AO20" s="68"/>
      <c r="AP20" s="68"/>
      <c r="AQ20" s="68"/>
      <c r="AR20" s="68"/>
    </row>
    <row r="21" spans="1:44" s="63" customFormat="1" ht="14.25" hidden="1" customHeight="1">
      <c r="L21" s="299"/>
      <c r="M21" s="497"/>
      <c r="N21" s="497"/>
      <c r="O21" s="497"/>
      <c r="P21" s="497"/>
      <c r="Q21" s="762"/>
      <c r="R21" s="762"/>
      <c r="S21" s="417"/>
      <c r="AN21" s="68"/>
      <c r="AO21" s="68"/>
      <c r="AP21" s="68"/>
      <c r="AQ21" s="68"/>
      <c r="AR21" s="68"/>
    </row>
    <row r="22" spans="1:44" s="63" customFormat="1" ht="14.25" hidden="1" customHeight="1">
      <c r="L22" s="299"/>
      <c r="M22" s="497"/>
      <c r="N22" s="497"/>
      <c r="O22" s="760" t="s">
        <v>417</v>
      </c>
      <c r="P22" s="497"/>
      <c r="Q22" s="762"/>
      <c r="R22" s="762"/>
      <c r="S22" s="417"/>
      <c r="T22" s="63" t="s">
        <v>418</v>
      </c>
      <c r="AA22" s="81" t="s">
        <v>419</v>
      </c>
      <c r="AC22" s="81" t="s">
        <v>420</v>
      </c>
      <c r="AD22" s="63" t="s">
        <v>418</v>
      </c>
      <c r="AI22" s="81" t="s">
        <v>421</v>
      </c>
      <c r="AK22" s="81" t="s">
        <v>420</v>
      </c>
      <c r="AN22" s="68"/>
      <c r="AO22" s="68"/>
      <c r="AP22" s="68"/>
      <c r="AQ22" s="68"/>
      <c r="AR22" s="68"/>
    </row>
    <row r="23" spans="1:44" ht="14.25" hidden="1" customHeight="1">
      <c r="O23" s="760"/>
    </row>
    <row r="24" spans="1:44" ht="14.25" hidden="1" customHeight="1">
      <c r="O24" s="760"/>
    </row>
    <row r="25" spans="1:44" ht="14.25" customHeight="1">
      <c r="Q25" s="29"/>
      <c r="R25" s="29"/>
      <c r="S25" s="729"/>
      <c r="T25" s="11"/>
      <c r="U25" s="11"/>
    </row>
    <row r="26" spans="1:44" ht="14.25" customHeight="1">
      <c r="Q26" s="29"/>
      <c r="R26" s="29"/>
      <c r="S26" s="1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49"/>
      <c r="U26" s="1249"/>
      <c r="V26" s="1249"/>
      <c r="W26" s="1249"/>
      <c r="X26" s="1249"/>
      <c r="Y26" s="1249"/>
      <c r="Z26" s="1249"/>
      <c r="AA26" s="1249"/>
      <c r="AB26" s="1249"/>
      <c r="AC26" s="1249"/>
      <c r="AD26" s="1249"/>
      <c r="AE26" s="1249"/>
      <c r="AF26" s="1249"/>
      <c r="AG26" s="1249"/>
      <c r="AH26" s="1249"/>
      <c r="AI26" s="1249"/>
      <c r="AJ26" s="1249"/>
      <c r="AK26" s="60"/>
    </row>
    <row r="27" spans="1:44" ht="14.25" customHeight="1">
      <c r="Q27" s="29"/>
      <c r="R27" s="29"/>
      <c r="S27" s="1194" t="str">
        <f>IF(org=0,"Не определено",org)</f>
        <v>АО "ХТК"</v>
      </c>
      <c r="T27" s="1194"/>
      <c r="U27" s="1194"/>
      <c r="V27" s="1194"/>
      <c r="W27" s="1194"/>
      <c r="X27" s="1194"/>
      <c r="Y27" s="1194"/>
      <c r="Z27" s="1194"/>
      <c r="AA27" s="1194"/>
      <c r="AB27" s="1194"/>
      <c r="AC27" s="1194"/>
      <c r="AD27" s="1194"/>
      <c r="AE27" s="1194"/>
      <c r="AF27" s="1194"/>
      <c r="AG27" s="1194"/>
      <c r="AH27" s="1194"/>
      <c r="AI27" s="1194"/>
      <c r="AJ27" s="1194"/>
      <c r="AK27" s="60"/>
    </row>
    <row r="28" spans="1:44" ht="14.25" hidden="1" customHeight="1">
      <c r="Q28" s="29"/>
      <c r="R28" s="29"/>
      <c r="S28" s="729"/>
      <c r="T28" s="11"/>
      <c r="U28" s="11"/>
      <c r="V28" s="187"/>
      <c r="W28" s="187"/>
      <c r="X28" s="187"/>
      <c r="Y28" s="187"/>
      <c r="Z28" s="187"/>
      <c r="AA28" s="187"/>
      <c r="AB28" s="187"/>
      <c r="AC28" s="187"/>
      <c r="AD28" s="187"/>
      <c r="AE28" s="187"/>
      <c r="AF28" s="187"/>
      <c r="AG28" s="187"/>
      <c r="AH28" s="187"/>
      <c r="AI28" s="187"/>
      <c r="AJ28" s="187"/>
      <c r="AK28" s="187"/>
    </row>
    <row r="29" spans="1:44" s="36" customFormat="1" ht="25.5" hidden="1" customHeight="1">
      <c r="A29" s="81"/>
      <c r="B29" s="81"/>
      <c r="C29" s="81"/>
      <c r="D29" s="81"/>
      <c r="E29" s="81"/>
      <c r="F29" s="81"/>
      <c r="G29" s="81"/>
      <c r="H29" s="81"/>
      <c r="I29" s="81"/>
      <c r="J29" s="81"/>
      <c r="K29" s="81"/>
      <c r="L29" s="760"/>
      <c r="M29" s="81"/>
      <c r="N29" s="81"/>
      <c r="O29" s="81"/>
      <c r="S29" s="1257" t="s">
        <v>37</v>
      </c>
      <c r="T29" s="1257"/>
      <c r="U29" s="763"/>
      <c r="V29" s="1258" t="str">
        <f>IF(TITLE_NAME_OR_PR_CHANGE="",IF(TITLE_NAME_OR_PR="","",TITLE_NAME_OR_PR),TITLE_NAME_OR_PR_CHANGE)</f>
        <v/>
      </c>
      <c r="W29" s="1258"/>
      <c r="X29" s="1258"/>
      <c r="Y29" s="1258"/>
      <c r="Z29" s="1258"/>
      <c r="AA29" s="1258"/>
      <c r="AB29" s="1258"/>
      <c r="AC29" s="12"/>
      <c r="AD29" s="1258" t="str">
        <f>IF(TITLE_NAME_OR_PR_CHANGE="",IF(TITLE_NAME_OR_PR="","",TITLE_NAME_OR_PR),TITLE_NAME_OR_PR_CHANGE)</f>
        <v/>
      </c>
      <c r="AE29" s="1258"/>
      <c r="AF29" s="1258"/>
      <c r="AG29" s="1258"/>
      <c r="AH29" s="1258"/>
      <c r="AI29" s="1258"/>
      <c r="AJ29" s="1258"/>
      <c r="AK29" s="12"/>
      <c r="AL29" s="12"/>
      <c r="AM29" s="161"/>
      <c r="AN29" s="69"/>
      <c r="AO29" s="69"/>
      <c r="AP29" s="69"/>
      <c r="AQ29" s="69"/>
      <c r="AR29" s="69"/>
    </row>
    <row r="30" spans="1:44" s="36" customFormat="1" ht="18.75" hidden="1" customHeight="1">
      <c r="A30" s="81"/>
      <c r="B30" s="81"/>
      <c r="C30" s="81"/>
      <c r="D30" s="81"/>
      <c r="E30" s="81"/>
      <c r="F30" s="81"/>
      <c r="G30" s="81"/>
      <c r="H30" s="81"/>
      <c r="I30" s="81"/>
      <c r="J30" s="81"/>
      <c r="K30" s="81"/>
      <c r="L30" s="760"/>
      <c r="M30" s="81"/>
      <c r="N30" s="81"/>
      <c r="O30" s="81"/>
      <c r="S30" s="1257" t="s">
        <v>422</v>
      </c>
      <c r="T30" s="1257"/>
      <c r="U30" s="763"/>
      <c r="V30" s="1267" t="str">
        <f>IF(TITLE_DATE_PR_CHANGE="",IF(TITLE_DATE_PR="","",TITLE_DATE_PR),TITLE_DATE_PR_CHANGE)</f>
        <v/>
      </c>
      <c r="W30" s="1267"/>
      <c r="X30" s="1267"/>
      <c r="Y30" s="1267"/>
      <c r="Z30" s="1267"/>
      <c r="AA30" s="1267"/>
      <c r="AB30" s="1267"/>
      <c r="AC30" s="12"/>
      <c r="AD30" s="1267" t="str">
        <f>IF(TITLE_DATE_PR_CHANGE="",IF(TITLE_DATE_PR="","",TITLE_DATE_PR),TITLE_DATE_PR_CHANGE)</f>
        <v/>
      </c>
      <c r="AE30" s="1267"/>
      <c r="AF30" s="1267"/>
      <c r="AG30" s="1267"/>
      <c r="AH30" s="1267"/>
      <c r="AI30" s="1267"/>
      <c r="AJ30" s="1267"/>
      <c r="AK30" s="12"/>
      <c r="AL30" s="12"/>
      <c r="AM30" s="161"/>
      <c r="AN30" s="69"/>
      <c r="AO30" s="69"/>
      <c r="AP30" s="69"/>
      <c r="AQ30" s="69"/>
      <c r="AR30" s="69"/>
    </row>
    <row r="31" spans="1:44" s="36" customFormat="1" ht="18.75" hidden="1" customHeight="1">
      <c r="A31" s="81"/>
      <c r="B31" s="81"/>
      <c r="C31" s="81"/>
      <c r="D31" s="81"/>
      <c r="E31" s="81"/>
      <c r="F31" s="81"/>
      <c r="G31" s="81"/>
      <c r="H31" s="81"/>
      <c r="I31" s="81"/>
      <c r="J31" s="81"/>
      <c r="K31" s="81"/>
      <c r="L31" s="760"/>
      <c r="M31" s="81"/>
      <c r="N31" s="81"/>
      <c r="O31" s="81"/>
      <c r="S31" s="1257" t="s">
        <v>423</v>
      </c>
      <c r="T31" s="1257"/>
      <c r="U31" s="763"/>
      <c r="V31" s="1258" t="str">
        <f>IF(TITLE_NUMBER_PR_CHANGE="",IF(TITLE_NUMBER_PR="","",TITLE_NUMBER_PR),TITLE_NUMBER_PR_CHANGE)</f>
        <v/>
      </c>
      <c r="W31" s="1258"/>
      <c r="X31" s="1258"/>
      <c r="Y31" s="1258"/>
      <c r="Z31" s="1258"/>
      <c r="AA31" s="1258"/>
      <c r="AB31" s="1258"/>
      <c r="AC31" s="12"/>
      <c r="AD31" s="1258" t="str">
        <f>IF(TITLE_NUMBER_PR_CHANGE="",IF(TITLE_NUMBER_PR="","",TITLE_NUMBER_PR),TITLE_NUMBER_PR_CHANGE)</f>
        <v/>
      </c>
      <c r="AE31" s="1258"/>
      <c r="AF31" s="1258"/>
      <c r="AG31" s="1258"/>
      <c r="AH31" s="1258"/>
      <c r="AI31" s="1258"/>
      <c r="AJ31" s="1258"/>
      <c r="AK31" s="12"/>
      <c r="AL31" s="12"/>
      <c r="AM31" s="161"/>
      <c r="AN31" s="69"/>
      <c r="AO31" s="69"/>
      <c r="AP31" s="69"/>
      <c r="AQ31" s="69"/>
      <c r="AR31" s="69"/>
    </row>
    <row r="32" spans="1:44" s="36" customFormat="1" ht="18.75" hidden="1" customHeight="1">
      <c r="A32" s="81"/>
      <c r="B32" s="81"/>
      <c r="C32" s="81"/>
      <c r="D32" s="81"/>
      <c r="E32" s="81"/>
      <c r="F32" s="81"/>
      <c r="G32" s="81"/>
      <c r="H32" s="81"/>
      <c r="I32" s="81"/>
      <c r="J32" s="81"/>
      <c r="K32" s="81"/>
      <c r="L32" s="760"/>
      <c r="M32" s="81"/>
      <c r="N32" s="81"/>
      <c r="O32" s="81"/>
      <c r="S32" s="1257" t="s">
        <v>38</v>
      </c>
      <c r="T32" s="1257"/>
      <c r="U32" s="763"/>
      <c r="V32" s="1258" t="str">
        <f>IF(TITLE_IST_PUB_CHANGE="",IF(TITLE_IST_PUB="","",TITLE_IST_PUB),TITLE_IST_PUB_CHANGE)</f>
        <v/>
      </c>
      <c r="W32" s="1258"/>
      <c r="X32" s="1258"/>
      <c r="Y32" s="1258"/>
      <c r="Z32" s="1258"/>
      <c r="AA32" s="1258"/>
      <c r="AB32" s="1258"/>
      <c r="AC32" s="12"/>
      <c r="AD32" s="1258" t="str">
        <f>IF(TITLE_IST_PUB_CHANGE="",IF(TITLE_IST_PUB="","",TITLE_IST_PUB),TITLE_IST_PUB_CHANGE)</f>
        <v/>
      </c>
      <c r="AE32" s="1258"/>
      <c r="AF32" s="1258"/>
      <c r="AG32" s="1258"/>
      <c r="AH32" s="1258"/>
      <c r="AI32" s="1258"/>
      <c r="AJ32" s="1258"/>
      <c r="AK32" s="12"/>
      <c r="AL32" s="12"/>
      <c r="AM32" s="161"/>
      <c r="AN32" s="69"/>
      <c r="AO32" s="69"/>
      <c r="AP32" s="69"/>
      <c r="AQ32" s="69"/>
      <c r="AR32" s="69"/>
    </row>
    <row r="33" spans="1:44" ht="14.25" hidden="1" customHeight="1">
      <c r="Q33" s="29"/>
      <c r="R33" s="29"/>
      <c r="S33" s="729"/>
      <c r="T33" s="11"/>
      <c r="U33" s="11"/>
      <c r="V33" s="187"/>
      <c r="W33" s="187"/>
      <c r="X33" s="187"/>
      <c r="Y33" s="187"/>
      <c r="Z33" s="187"/>
      <c r="AA33" s="187"/>
      <c r="AB33" s="187"/>
      <c r="AC33" s="187"/>
      <c r="AD33" s="187"/>
      <c r="AE33" s="187"/>
      <c r="AF33" s="187"/>
      <c r="AG33" s="187"/>
      <c r="AH33" s="187"/>
      <c r="AI33" s="187"/>
      <c r="AJ33" s="187"/>
      <c r="AK33" s="187"/>
    </row>
    <row r="34" spans="1:44" s="36" customFormat="1" ht="18.75" hidden="1" customHeight="1">
      <c r="A34" s="81"/>
      <c r="B34" s="81"/>
      <c r="C34" s="81"/>
      <c r="D34" s="81"/>
      <c r="E34" s="81"/>
      <c r="F34" s="81"/>
      <c r="G34" s="81"/>
      <c r="H34" s="81"/>
      <c r="I34" s="81"/>
      <c r="J34" s="81"/>
      <c r="K34" s="81"/>
      <c r="L34" s="760"/>
      <c r="M34" s="81"/>
      <c r="N34" s="81"/>
      <c r="O34" s="81"/>
      <c r="S34" s="1257" t="s">
        <v>424</v>
      </c>
      <c r="T34" s="1257"/>
      <c r="U34" s="763"/>
      <c r="V34" s="1267" t="str">
        <f>IF(TITLE_DATE_PR_CHANGE="",IF(TITLE_DATE_PR="","",TITLE_DATE_PR),TITLE_DATE_PR_CHANGE)</f>
        <v/>
      </c>
      <c r="W34" s="1267"/>
      <c r="X34" s="1267"/>
      <c r="Y34" s="1267"/>
      <c r="Z34" s="1267"/>
      <c r="AA34" s="1267"/>
      <c r="AB34" s="1267"/>
      <c r="AC34" s="12"/>
      <c r="AD34" s="1267" t="str">
        <f>IF(TITLE_DATE_PR_CHANGE="",IF(TITLE_DATE_PR="","",TITLE_DATE_PR),TITLE_DATE_PR_CHANGE)</f>
        <v/>
      </c>
      <c r="AE34" s="1267"/>
      <c r="AF34" s="1267"/>
      <c r="AG34" s="1267"/>
      <c r="AH34" s="1267"/>
      <c r="AI34" s="1267"/>
      <c r="AJ34" s="1267"/>
      <c r="AK34" s="12"/>
      <c r="AL34" s="12"/>
      <c r="AM34" s="161"/>
      <c r="AN34" s="69"/>
      <c r="AO34" s="69"/>
      <c r="AP34" s="69"/>
      <c r="AQ34" s="69"/>
      <c r="AR34" s="69"/>
    </row>
    <row r="35" spans="1:44" s="36" customFormat="1" ht="18.75" hidden="1" customHeight="1">
      <c r="A35" s="81"/>
      <c r="B35" s="81"/>
      <c r="C35" s="81"/>
      <c r="D35" s="81"/>
      <c r="E35" s="81"/>
      <c r="F35" s="81"/>
      <c r="G35" s="81"/>
      <c r="H35" s="81"/>
      <c r="I35" s="81"/>
      <c r="J35" s="81"/>
      <c r="K35" s="81"/>
      <c r="L35" s="760"/>
      <c r="M35" s="81"/>
      <c r="N35" s="81"/>
      <c r="O35" s="81"/>
      <c r="S35" s="1257" t="s">
        <v>425</v>
      </c>
      <c r="T35" s="1257"/>
      <c r="U35" s="763"/>
      <c r="V35" s="1258" t="str">
        <f>IF(TITLE_NUMBER_PR_CHANGE="",IF(TITLE_NUMBER_PR="","",TITLE_NUMBER_PR),TITLE_NUMBER_PR_CHANGE)</f>
        <v/>
      </c>
      <c r="W35" s="1258"/>
      <c r="X35" s="1258"/>
      <c r="Y35" s="1258"/>
      <c r="Z35" s="1258"/>
      <c r="AA35" s="1258"/>
      <c r="AB35" s="1258"/>
      <c r="AC35" s="12"/>
      <c r="AD35" s="1258" t="str">
        <f>IF(TITLE_NUMBER_PR_CHANGE="",IF(TITLE_NUMBER_PR="","",TITLE_NUMBER_PR),TITLE_NUMBER_PR_CHANGE)</f>
        <v/>
      </c>
      <c r="AE35" s="1258"/>
      <c r="AF35" s="1258"/>
      <c r="AG35" s="1258"/>
      <c r="AH35" s="1258"/>
      <c r="AI35" s="1258"/>
      <c r="AJ35" s="1258"/>
      <c r="AK35" s="12"/>
      <c r="AL35" s="12"/>
      <c r="AM35" s="161"/>
      <c r="AN35" s="69"/>
      <c r="AO35" s="69"/>
      <c r="AP35" s="69"/>
      <c r="AQ35" s="69"/>
      <c r="AR35" s="69"/>
    </row>
    <row r="36" spans="1:44" s="36" customFormat="1" ht="0" hidden="1" customHeight="1">
      <c r="A36" s="81"/>
      <c r="B36" s="81"/>
      <c r="C36" s="81"/>
      <c r="D36" s="81"/>
      <c r="E36" s="81"/>
      <c r="F36" s="81"/>
      <c r="G36" s="81"/>
      <c r="H36" s="81"/>
      <c r="I36" s="81"/>
      <c r="J36" s="81"/>
      <c r="K36" s="81"/>
      <c r="L36" s="760"/>
      <c r="M36" s="81"/>
      <c r="N36" s="81"/>
      <c r="O36" s="81"/>
      <c r="S36" s="12"/>
      <c r="T36" s="12"/>
      <c r="U36" s="77"/>
      <c r="V36" s="12"/>
      <c r="W36" s="12"/>
      <c r="X36" s="12"/>
      <c r="Y36" s="12"/>
      <c r="Z36" s="12"/>
      <c r="AA36" s="12"/>
      <c r="AB36" s="12"/>
      <c r="AC36" s="68" t="s">
        <v>426</v>
      </c>
      <c r="AD36" s="12"/>
      <c r="AE36" s="12"/>
      <c r="AF36" s="12"/>
      <c r="AG36" s="12"/>
      <c r="AH36" s="12"/>
      <c r="AI36" s="12"/>
      <c r="AJ36" s="12"/>
      <c r="AK36" s="68" t="s">
        <v>426</v>
      </c>
      <c r="AN36" s="69"/>
      <c r="AO36" s="69"/>
      <c r="AP36" s="69"/>
      <c r="AQ36" s="69"/>
      <c r="AR36" s="69"/>
    </row>
    <row r="37" spans="1:44" ht="14.25" customHeight="1">
      <c r="Q37" s="29"/>
      <c r="R37" s="29"/>
      <c r="S37" s="729"/>
      <c r="T37" s="11"/>
      <c r="U37" s="709"/>
      <c r="V37" s="1259"/>
      <c r="W37" s="1259"/>
      <c r="X37" s="1259"/>
      <c r="Y37" s="1259"/>
      <c r="Z37" s="1259"/>
      <c r="AA37" s="1259"/>
      <c r="AB37" s="1259"/>
      <c r="AC37" s="1259"/>
      <c r="AD37" s="1259"/>
      <c r="AE37" s="1259"/>
      <c r="AF37" s="1259"/>
      <c r="AG37" s="1259"/>
      <c r="AH37" s="1259"/>
      <c r="AI37" s="1259"/>
      <c r="AJ37" s="1259"/>
      <c r="AK37" s="1259"/>
    </row>
    <row r="38" spans="1:44" ht="14.25" customHeight="1">
      <c r="Q38" s="29"/>
      <c r="R38" s="29"/>
      <c r="S38" s="1146" t="s">
        <v>299</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300</v>
      </c>
    </row>
    <row r="39" spans="1:44" ht="14.25" customHeight="1">
      <c r="Q39" s="29"/>
      <c r="R39" s="29"/>
      <c r="S39" s="1273" t="s">
        <v>84</v>
      </c>
      <c r="T39" s="1224" t="s">
        <v>427</v>
      </c>
      <c r="U39" s="170"/>
      <c r="V39" s="1274" t="s">
        <v>428</v>
      </c>
      <c r="W39" s="1275"/>
      <c r="X39" s="1275"/>
      <c r="Y39" s="1275"/>
      <c r="Z39" s="1275"/>
      <c r="AA39" s="1275"/>
      <c r="AB39" s="1276"/>
      <c r="AC39" s="1277" t="s">
        <v>429</v>
      </c>
      <c r="AD39" s="1274" t="s">
        <v>428</v>
      </c>
      <c r="AE39" s="1275"/>
      <c r="AF39" s="1275"/>
      <c r="AG39" s="1275"/>
      <c r="AH39" s="1275"/>
      <c r="AI39" s="1275"/>
      <c r="AJ39" s="1276"/>
      <c r="AK39" s="1277" t="s">
        <v>430</v>
      </c>
      <c r="AL39" s="1280" t="s">
        <v>431</v>
      </c>
      <c r="AM39" s="1146"/>
    </row>
    <row r="40" spans="1:44" ht="33.75" customHeight="1">
      <c r="Q40" s="29"/>
      <c r="R40" s="29"/>
      <c r="S40" s="1273"/>
      <c r="T40" s="1224"/>
      <c r="U40" s="595"/>
      <c r="V40" s="1193" t="s">
        <v>432</v>
      </c>
      <c r="W40" s="1283" t="s">
        <v>433</v>
      </c>
      <c r="X40" s="1117" t="s">
        <v>434</v>
      </c>
      <c r="Y40" s="1116"/>
      <c r="Z40" s="1117" t="s">
        <v>435</v>
      </c>
      <c r="AA40" s="1122"/>
      <c r="AB40" s="1116"/>
      <c r="AC40" s="1278"/>
      <c r="AD40" s="1193" t="s">
        <v>432</v>
      </c>
      <c r="AE40" s="1283" t="s">
        <v>433</v>
      </c>
      <c r="AF40" s="1117" t="s">
        <v>434</v>
      </c>
      <c r="AG40" s="1116"/>
      <c r="AH40" s="1117" t="s">
        <v>435</v>
      </c>
      <c r="AI40" s="1122"/>
      <c r="AJ40" s="1116"/>
      <c r="AK40" s="1278"/>
      <c r="AL40" s="1281"/>
      <c r="AM40" s="1146"/>
    </row>
    <row r="41" spans="1:44" ht="33.75" customHeight="1">
      <c r="A41" s="81"/>
      <c r="B41" s="81" t="s">
        <v>136</v>
      </c>
      <c r="C41" s="81" t="s">
        <v>137</v>
      </c>
      <c r="D41" s="81" t="s">
        <v>138</v>
      </c>
      <c r="E41" s="760" t="s">
        <v>436</v>
      </c>
      <c r="F41" s="760" t="s">
        <v>437</v>
      </c>
      <c r="G41" s="760" t="s">
        <v>438</v>
      </c>
      <c r="H41" s="760" t="s">
        <v>439</v>
      </c>
      <c r="I41" s="760" t="s">
        <v>440</v>
      </c>
      <c r="J41" s="760" t="s">
        <v>441</v>
      </c>
      <c r="K41" s="760" t="s">
        <v>442</v>
      </c>
      <c r="L41" s="760" t="s">
        <v>417</v>
      </c>
      <c r="Q41" s="29"/>
      <c r="R41" s="29"/>
      <c r="S41" s="1273"/>
      <c r="T41" s="1224"/>
      <c r="U41" s="171"/>
      <c r="V41" s="1244"/>
      <c r="W41" s="1284"/>
      <c r="X41" s="40" t="s">
        <v>443</v>
      </c>
      <c r="Y41" s="40" t="s">
        <v>444</v>
      </c>
      <c r="Z41" s="40" t="s">
        <v>445</v>
      </c>
      <c r="AA41" s="1233" t="s">
        <v>446</v>
      </c>
      <c r="AB41" s="1235"/>
      <c r="AC41" s="1279"/>
      <c r="AD41" s="1244"/>
      <c r="AE41" s="1284"/>
      <c r="AF41" s="40" t="s">
        <v>443</v>
      </c>
      <c r="AG41" s="40" t="s">
        <v>444</v>
      </c>
      <c r="AH41" s="40" t="s">
        <v>445</v>
      </c>
      <c r="AI41" s="1233" t="s">
        <v>446</v>
      </c>
      <c r="AJ41" s="1235"/>
      <c r="AK41" s="1279"/>
      <c r="AL41" s="1282"/>
      <c r="AM41" s="1146"/>
    </row>
    <row r="42" spans="1:44" s="201" customFormat="1" ht="11.25" hidden="1" customHeight="1">
      <c r="A42" s="81"/>
      <c r="B42" s="81"/>
      <c r="C42" s="81"/>
      <c r="D42" s="81"/>
      <c r="E42" s="81"/>
      <c r="F42" s="81"/>
      <c r="G42" s="81"/>
      <c r="H42" s="81"/>
      <c r="I42" s="81"/>
      <c r="J42" s="81"/>
      <c r="K42" s="81"/>
      <c r="L42" s="760"/>
      <c r="M42" s="497"/>
      <c r="N42" s="497"/>
      <c r="O42" s="497"/>
      <c r="P42" s="711"/>
      <c r="Q42" s="712"/>
      <c r="R42" s="714">
        <v>1</v>
      </c>
      <c r="S42" s="731" t="s">
        <v>105</v>
      </c>
      <c r="T42" s="715" t="s">
        <v>106</v>
      </c>
      <c r="U42" s="710" t="str">
        <f ca="1">OFFSET(U42,0,-1)</f>
        <v>2</v>
      </c>
      <c r="V42" s="716">
        <f ca="1">OFFSET(V42,0,-1)+1</f>
        <v>3</v>
      </c>
      <c r="W42" s="716"/>
      <c r="X42" s="716">
        <f ca="1">OFFSET(X42,0,-1)+1</f>
        <v>1</v>
      </c>
      <c r="Y42" s="716">
        <f ca="1">OFFSET(Y42,0,-1)+1</f>
        <v>2</v>
      </c>
      <c r="Z42" s="716">
        <f ca="1">OFFSET(Z42,0,-1)+1</f>
        <v>3</v>
      </c>
      <c r="AA42" s="1272">
        <f ca="1">OFFSET(AA42,0,-1)+1</f>
        <v>4</v>
      </c>
      <c r="AB42" s="1272"/>
      <c r="AC42" s="716">
        <f ca="1">OFFSET(AC42,0,-2)+1</f>
        <v>5</v>
      </c>
      <c r="AD42" s="716">
        <f ca="1">OFFSET(AD42,0,-1)+1</f>
        <v>6</v>
      </c>
      <c r="AE42" s="716"/>
      <c r="AF42" s="716">
        <f ca="1">OFFSET(AF42,0,-1)+1</f>
        <v>1</v>
      </c>
      <c r="AG42" s="716">
        <f ca="1">OFFSET(AG42,0,-1)+1</f>
        <v>2</v>
      </c>
      <c r="AH42" s="716">
        <f ca="1">OFFSET(AH42,0,-1)+1</f>
        <v>3</v>
      </c>
      <c r="AI42" s="1272">
        <f ca="1">OFFSET(AI42,0,-1)+1</f>
        <v>4</v>
      </c>
      <c r="AJ42" s="1272"/>
      <c r="AK42" s="716">
        <f ca="1">OFFSET(AK42,0,-2)+1</f>
        <v>5</v>
      </c>
      <c r="AL42" s="710">
        <f ca="1">OFFSET(AL42,0,-1)</f>
        <v>5</v>
      </c>
      <c r="AM42" s="716">
        <f ca="1">OFFSET(AM42,0,-1)+1</f>
        <v>6</v>
      </c>
      <c r="AN42" s="68"/>
      <c r="AO42" s="68"/>
      <c r="AP42" s="68"/>
      <c r="AQ42" s="68"/>
      <c r="AR42" s="68"/>
    </row>
    <row r="43" spans="1:44" ht="23.25" customHeight="1">
      <c r="A43" s="759" t="s">
        <v>157</v>
      </c>
      <c r="B43" s="759"/>
      <c r="C43" s="759"/>
      <c r="D43" s="759"/>
      <c r="E43" s="1265">
        <v>1</v>
      </c>
      <c r="F43" s="759"/>
      <c r="G43" s="759"/>
      <c r="H43" s="759"/>
      <c r="I43" s="759"/>
      <c r="J43" s="759"/>
      <c r="K43" s="759"/>
      <c r="L43" s="760"/>
      <c r="M43" s="417"/>
      <c r="N43" s="417"/>
      <c r="O43" s="417"/>
      <c r="Q43" s="35"/>
      <c r="R43" s="205"/>
      <c r="S43" s="698">
        <f>INDEX(PT_DIFFERENTIATION_NUM_NTAR,MATCH(A43,PT_DIFFERENTIATION_NTAR_ID,0))</f>
        <v>0</v>
      </c>
      <c r="T43" s="67" t="s">
        <v>124</v>
      </c>
      <c r="U43" s="169"/>
      <c r="V43" s="1251"/>
      <c r="W43" s="1252"/>
      <c r="X43" s="1252"/>
      <c r="Y43" s="1252"/>
      <c r="Z43" s="1252"/>
      <c r="AA43" s="1252"/>
      <c r="AB43" s="1252"/>
      <c r="AC43" s="1253"/>
      <c r="AD43" s="1251" t="str">
        <f>INDEX(PT_DIFFERENTIATION_NTAR,MATCH(A43,PT_DIFFERENTIATION_NTAR_ID,0))</f>
        <v/>
      </c>
      <c r="AE43" s="1252"/>
      <c r="AF43" s="1252"/>
      <c r="AG43" s="1252"/>
      <c r="AH43" s="1252"/>
      <c r="AI43" s="1252"/>
      <c r="AJ43" s="1252"/>
      <c r="AK43" s="1252"/>
      <c r="AL43" s="1253"/>
      <c r="AM43" s="71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row>
    <row r="44" spans="1:44" ht="23.25" customHeight="1">
      <c r="A44" s="759" t="s">
        <v>157</v>
      </c>
      <c r="B44" s="759" t="s">
        <v>158</v>
      </c>
      <c r="C44" s="759"/>
      <c r="D44" s="759"/>
      <c r="E44" s="1266"/>
      <c r="F44" s="1265">
        <v>1</v>
      </c>
      <c r="G44" s="759"/>
      <c r="H44" s="759"/>
      <c r="I44" s="759"/>
      <c r="J44" s="759"/>
      <c r="K44" s="759"/>
      <c r="L44" s="760"/>
      <c r="M44" s="417"/>
      <c r="N44" s="417"/>
      <c r="O44" s="417"/>
      <c r="P44" s="59"/>
      <c r="Q44" s="202"/>
      <c r="R44" s="203"/>
      <c r="S44" s="698" t="str">
        <f>INDEX(PT_DIFFERENTIATION_NUM_TER,MATCH(B44,PT_DIFFERENTIATION_TER_ID,0))</f>
        <v>.</v>
      </c>
      <c r="T44" s="175" t="s">
        <v>396</v>
      </c>
      <c r="U44" s="169"/>
      <c r="V44" s="1251"/>
      <c r="W44" s="1252"/>
      <c r="X44" s="1252"/>
      <c r="Y44" s="1252"/>
      <c r="Z44" s="1252"/>
      <c r="AA44" s="1252"/>
      <c r="AB44" s="1252"/>
      <c r="AC44" s="1253"/>
      <c r="AD44" s="1251" t="str">
        <f>INDEX(PT_DIFFERENTIATION_TER,MATCH(B44,PT_DIFFERENTIATION_TER_ID,0))</f>
        <v/>
      </c>
      <c r="AE44" s="1252"/>
      <c r="AF44" s="1252"/>
      <c r="AG44" s="1252"/>
      <c r="AH44" s="1252"/>
      <c r="AI44" s="1252"/>
      <c r="AJ44" s="1252"/>
      <c r="AK44" s="1252"/>
      <c r="AL44" s="1253"/>
      <c r="AM44" s="718" t="s">
        <v>397</v>
      </c>
      <c r="AO44" s="69"/>
      <c r="AP44" s="69" t="str">
        <f t="shared" si="1"/>
        <v>Территория действия тарифа</v>
      </c>
      <c r="AQ44" s="69"/>
      <c r="AR44" s="69"/>
    </row>
    <row r="45" spans="1:44" ht="23.25" customHeight="1">
      <c r="A45" s="759" t="s">
        <v>157</v>
      </c>
      <c r="B45" s="759" t="s">
        <v>158</v>
      </c>
      <c r="C45" s="759" t="s">
        <v>159</v>
      </c>
      <c r="D45" s="759"/>
      <c r="E45" s="1266"/>
      <c r="F45" s="1266"/>
      <c r="G45" s="1265">
        <v>1</v>
      </c>
      <c r="H45" s="759"/>
      <c r="I45" s="759"/>
      <c r="J45" s="759"/>
      <c r="K45" s="759"/>
      <c r="L45" s="760"/>
      <c r="M45" s="417"/>
      <c r="N45" s="417"/>
      <c r="O45" s="417"/>
      <c r="P45" s="204"/>
      <c r="Q45" s="202"/>
      <c r="R45" s="203"/>
      <c r="S45" s="698" t="str">
        <f>INDEX(PT_DIFFERENTIATION_NUM_CS,MATCH(C45,PT_DIFFERENTIATION_CS_ID,0))</f>
        <v>..</v>
      </c>
      <c r="T45" s="176" t="s">
        <v>398</v>
      </c>
      <c r="U45" s="169"/>
      <c r="V45" s="1251"/>
      <c r="W45" s="1252"/>
      <c r="X45" s="1252"/>
      <c r="Y45" s="1252"/>
      <c r="Z45" s="1252"/>
      <c r="AA45" s="1252"/>
      <c r="AB45" s="1252"/>
      <c r="AC45" s="1253"/>
      <c r="AD45" s="1251" t="str">
        <f>INDEX(PT_DIFFERENTIATION_CS,MATCH(C45,PT_DIFFERENTIATION_CS_ID,0))</f>
        <v/>
      </c>
      <c r="AE45" s="1252"/>
      <c r="AF45" s="1252"/>
      <c r="AG45" s="1252"/>
      <c r="AH45" s="1252"/>
      <c r="AI45" s="1252"/>
      <c r="AJ45" s="1252"/>
      <c r="AK45" s="1252"/>
      <c r="AL45" s="1253"/>
      <c r="AM45" s="718" t="s">
        <v>399</v>
      </c>
      <c r="AO45" s="69"/>
      <c r="AP45" s="69" t="str">
        <f t="shared" si="1"/>
        <v xml:space="preserve">Наименование системы теплоснабжения </v>
      </c>
      <c r="AQ45" s="69"/>
      <c r="AR45" s="69"/>
    </row>
    <row r="46" spans="1:44" ht="23.25" customHeight="1">
      <c r="A46" s="759" t="s">
        <v>157</v>
      </c>
      <c r="B46" s="759" t="s">
        <v>158</v>
      </c>
      <c r="C46" s="759" t="s">
        <v>159</v>
      </c>
      <c r="D46" s="759" t="s">
        <v>160</v>
      </c>
      <c r="E46" s="1266"/>
      <c r="F46" s="1266"/>
      <c r="G46" s="1266"/>
      <c r="H46" s="1265">
        <v>1</v>
      </c>
      <c r="I46" s="759"/>
      <c r="J46" s="759"/>
      <c r="K46" s="759"/>
      <c r="L46" s="760"/>
      <c r="M46" s="417"/>
      <c r="N46" s="417"/>
      <c r="O46" s="417"/>
      <c r="P46" s="204"/>
      <c r="Q46" s="202"/>
      <c r="R46" s="203"/>
      <c r="S46" s="698" t="str">
        <f>INDEX(PT_DIFFERENTIATION_NUM_IST_TE,MATCH(D46,PT_DIFFERENTIATION_IST_TE_ID,0))</f>
        <v>...</v>
      </c>
      <c r="T46" s="177" t="s">
        <v>400</v>
      </c>
      <c r="U46" s="169"/>
      <c r="V46" s="1251"/>
      <c r="W46" s="1252"/>
      <c r="X46" s="1252"/>
      <c r="Y46" s="1252"/>
      <c r="Z46" s="1252"/>
      <c r="AA46" s="1252"/>
      <c r="AB46" s="1252"/>
      <c r="AC46" s="1253"/>
      <c r="AD46" s="1251" t="str">
        <f>INDEX(PT_DIFFERENTIATION_IST_TE,MATCH(D46,PT_DIFFERENTIATION_IST_TE_ID,0))</f>
        <v/>
      </c>
      <c r="AE46" s="1252"/>
      <c r="AF46" s="1252"/>
      <c r="AG46" s="1252"/>
      <c r="AH46" s="1252"/>
      <c r="AI46" s="1252"/>
      <c r="AJ46" s="1252"/>
      <c r="AK46" s="1252"/>
      <c r="AL46" s="1253"/>
      <c r="AM46" s="718" t="s">
        <v>401</v>
      </c>
      <c r="AO46" s="69"/>
      <c r="AP46" s="69" t="str">
        <f t="shared" si="1"/>
        <v xml:space="preserve">Источник тепловой энергии  </v>
      </c>
      <c r="AQ46" s="69"/>
      <c r="AR46" s="69"/>
    </row>
    <row r="47" spans="1:44" ht="47.25" customHeight="1">
      <c r="A47" s="759" t="s">
        <v>157</v>
      </c>
      <c r="B47" s="759" t="s">
        <v>158</v>
      </c>
      <c r="C47" s="759" t="s">
        <v>159</v>
      </c>
      <c r="D47" s="759" t="s">
        <v>160</v>
      </c>
      <c r="E47" s="1266"/>
      <c r="F47" s="1266"/>
      <c r="G47" s="1266"/>
      <c r="H47" s="1266"/>
      <c r="I47" s="1263" t="str">
        <f>S46&amp;".1"</f>
        <v>....1</v>
      </c>
      <c r="J47" s="759"/>
      <c r="K47" s="759"/>
      <c r="L47" s="760" t="s">
        <v>402</v>
      </c>
      <c r="P47" s="1264">
        <v>1</v>
      </c>
      <c r="Q47" s="120"/>
      <c r="R47" s="206"/>
      <c r="S47" s="698" t="str">
        <f>$I47</f>
        <v>....1</v>
      </c>
      <c r="T47" s="162" t="s">
        <v>403</v>
      </c>
      <c r="U47" s="169"/>
      <c r="V47" s="1254"/>
      <c r="W47" s="1255"/>
      <c r="X47" s="1255"/>
      <c r="Y47" s="1255"/>
      <c r="Z47" s="1255"/>
      <c r="AA47" s="1255"/>
      <c r="AB47" s="1255"/>
      <c r="AC47" s="1256"/>
      <c r="AD47" s="1254"/>
      <c r="AE47" s="1255"/>
      <c r="AF47" s="1255"/>
      <c r="AG47" s="1255"/>
      <c r="AH47" s="1255"/>
      <c r="AI47" s="1255"/>
      <c r="AJ47" s="1255"/>
      <c r="AK47" s="1255"/>
      <c r="AL47" s="1256"/>
      <c r="AM47" s="718" t="s">
        <v>404</v>
      </c>
      <c r="AO47" s="69"/>
      <c r="AP47" s="69" t="str">
        <f t="shared" si="1"/>
        <v>Схема подключения теплопотребляющей установки к коллектору источника тепловой энергии</v>
      </c>
      <c r="AQ47" s="69"/>
      <c r="AR47" s="69"/>
    </row>
    <row r="48" spans="1:44" ht="23.25" customHeight="1">
      <c r="A48" s="759" t="s">
        <v>157</v>
      </c>
      <c r="B48" s="759" t="s">
        <v>158</v>
      </c>
      <c r="C48" s="759" t="s">
        <v>159</v>
      </c>
      <c r="D48" s="759" t="s">
        <v>160</v>
      </c>
      <c r="E48" s="1266"/>
      <c r="F48" s="1266"/>
      <c r="G48" s="1266"/>
      <c r="H48" s="1266"/>
      <c r="I48" s="1286"/>
      <c r="J48" s="1263" t="str">
        <f>I47&amp;".1"</f>
        <v>....1.1</v>
      </c>
      <c r="K48" s="759"/>
      <c r="L48" s="760" t="s">
        <v>405</v>
      </c>
      <c r="P48" s="1264"/>
      <c r="Q48" s="1264">
        <v>1</v>
      </c>
      <c r="R48" s="207"/>
      <c r="S48" s="698" t="str">
        <f>$J48</f>
        <v>....1.1</v>
      </c>
      <c r="T48" s="163" t="s">
        <v>406</v>
      </c>
      <c r="U48" s="169"/>
      <c r="V48" s="1254"/>
      <c r="W48" s="1255"/>
      <c r="X48" s="1255"/>
      <c r="Y48" s="1255"/>
      <c r="Z48" s="1255"/>
      <c r="AA48" s="1255"/>
      <c r="AB48" s="1255"/>
      <c r="AC48" s="1256"/>
      <c r="AD48" s="1254"/>
      <c r="AE48" s="1255"/>
      <c r="AF48" s="1255"/>
      <c r="AG48" s="1255"/>
      <c r="AH48" s="1255"/>
      <c r="AI48" s="1255"/>
      <c r="AJ48" s="1255"/>
      <c r="AK48" s="1255"/>
      <c r="AL48" s="1256"/>
      <c r="AM48" s="718" t="s">
        <v>407</v>
      </c>
      <c r="AO48" s="69"/>
      <c r="AP48" s="69" t="str">
        <f t="shared" si="1"/>
        <v>Группа потребителей</v>
      </c>
      <c r="AQ48" s="69"/>
      <c r="AR48" s="69"/>
    </row>
    <row r="49" spans="1:44" ht="23.25" customHeight="1">
      <c r="A49" s="759" t="s">
        <v>157</v>
      </c>
      <c r="B49" s="759" t="s">
        <v>158</v>
      </c>
      <c r="C49" s="759" t="s">
        <v>159</v>
      </c>
      <c r="D49" s="759" t="s">
        <v>160</v>
      </c>
      <c r="E49" s="1266"/>
      <c r="F49" s="1266"/>
      <c r="G49" s="1266"/>
      <c r="H49" s="1266"/>
      <c r="I49" s="1286"/>
      <c r="J49" s="1286"/>
      <c r="K49" s="1263" t="str">
        <f>J48&amp;".1"</f>
        <v>....1.1.1</v>
      </c>
      <c r="L49" s="760" t="s">
        <v>408</v>
      </c>
      <c r="P49" s="1264"/>
      <c r="Q49" s="1264"/>
      <c r="R49" s="207">
        <v>1</v>
      </c>
      <c r="S49" s="698" t="str">
        <f>$K49</f>
        <v>....1.1.1</v>
      </c>
      <c r="T49" s="755"/>
      <c r="U49" s="169"/>
      <c r="V49" s="304"/>
      <c r="W49" s="189"/>
      <c r="X49" s="304"/>
      <c r="Y49" s="717"/>
      <c r="Z49" s="1268"/>
      <c r="AA49" s="1127" t="s">
        <v>62</v>
      </c>
      <c r="AB49" s="1268"/>
      <c r="AC49" s="1127" t="s">
        <v>62</v>
      </c>
      <c r="AD49" s="304"/>
      <c r="AE49" s="189"/>
      <c r="AF49" s="304"/>
      <c r="AG49" s="717"/>
      <c r="AH49" s="1268"/>
      <c r="AI49" s="1127" t="s">
        <v>62</v>
      </c>
      <c r="AJ49" s="1287"/>
      <c r="AK49" s="1127" t="s">
        <v>62</v>
      </c>
      <c r="AL49" s="756"/>
      <c r="AM49" s="1260" t="s">
        <v>409</v>
      </c>
      <c r="AN49" s="68" t="e">
        <f ca="1">STRCHECKDATE(V50:AL50)</f>
        <v>#NAME?</v>
      </c>
      <c r="AO49" s="69"/>
      <c r="AP49" s="69" t="str">
        <f t="shared" si="1"/>
        <v/>
      </c>
      <c r="AQ49" s="69"/>
      <c r="AR49" s="69"/>
    </row>
    <row r="50" spans="1:44" ht="0.75" customHeight="1">
      <c r="A50" s="759" t="s">
        <v>157</v>
      </c>
      <c r="B50" s="759" t="s">
        <v>158</v>
      </c>
      <c r="C50" s="759" t="s">
        <v>159</v>
      </c>
      <c r="D50" s="759" t="s">
        <v>160</v>
      </c>
      <c r="E50" s="1266"/>
      <c r="F50" s="1266"/>
      <c r="G50" s="1266"/>
      <c r="H50" s="1266"/>
      <c r="I50" s="1286"/>
      <c r="J50" s="1286"/>
      <c r="K50" s="1263"/>
      <c r="L50" s="760"/>
      <c r="P50" s="1264"/>
      <c r="Q50" s="1264"/>
      <c r="R50" s="207"/>
      <c r="S50" s="65"/>
      <c r="T50" s="169"/>
      <c r="U50" s="169"/>
      <c r="V50" s="189"/>
      <c r="W50" s="189"/>
      <c r="X50" s="189"/>
      <c r="Y50" s="190" t="str">
        <f>Z49&amp;"-"&amp;AB49</f>
        <v>-</v>
      </c>
      <c r="Z50" s="1269"/>
      <c r="AA50" s="1127"/>
      <c r="AB50" s="1269"/>
      <c r="AC50" s="1127"/>
      <c r="AD50" s="189"/>
      <c r="AE50" s="189"/>
      <c r="AF50" s="189"/>
      <c r="AG50" s="190" t="str">
        <f>AH49&amp;"-"&amp;AJ49</f>
        <v>-</v>
      </c>
      <c r="AH50" s="1269"/>
      <c r="AI50" s="1127"/>
      <c r="AJ50" s="1288"/>
      <c r="AK50" s="1127"/>
      <c r="AL50" s="757"/>
      <c r="AM50" s="1261"/>
      <c r="AO50" s="69"/>
      <c r="AP50" s="69" t="str">
        <f t="shared" si="1"/>
        <v/>
      </c>
      <c r="AQ50" s="69"/>
      <c r="AR50" s="69"/>
    </row>
    <row r="51" spans="1:44" ht="11.25" customHeight="1">
      <c r="A51" s="759" t="s">
        <v>157</v>
      </c>
      <c r="B51" s="759" t="s">
        <v>158</v>
      </c>
      <c r="C51" s="759" t="s">
        <v>159</v>
      </c>
      <c r="D51" s="759" t="s">
        <v>160</v>
      </c>
      <c r="E51" s="1266"/>
      <c r="F51" s="1266"/>
      <c r="G51" s="1266"/>
      <c r="H51" s="1266"/>
      <c r="I51" s="1286"/>
      <c r="J51" s="1263"/>
      <c r="K51" s="759"/>
      <c r="L51" s="760"/>
      <c r="P51" s="1264"/>
      <c r="Q51" s="1264"/>
      <c r="R51" s="206"/>
      <c r="S51" s="732"/>
      <c r="T51" s="165" t="s">
        <v>410</v>
      </c>
      <c r="U51" s="211"/>
      <c r="V51" s="211"/>
      <c r="W51" s="211"/>
      <c r="X51" s="211"/>
      <c r="Y51" s="211"/>
      <c r="Z51" s="211"/>
      <c r="AA51" s="211"/>
      <c r="AB51" s="211"/>
      <c r="AC51" s="211"/>
      <c r="AD51" s="211"/>
      <c r="AE51" s="211"/>
      <c r="AF51" s="211"/>
      <c r="AG51" s="211"/>
      <c r="AH51" s="211"/>
      <c r="AI51" s="211"/>
      <c r="AJ51" s="211"/>
      <c r="AK51" s="211"/>
      <c r="AL51" s="188"/>
      <c r="AM51" s="1262"/>
      <c r="AO51" s="69"/>
      <c r="AP51" s="69" t="str">
        <f t="shared" si="1"/>
        <v>Добавить вид теплоносителя (параметры теплоносителя)</v>
      </c>
      <c r="AQ51" s="69"/>
      <c r="AR51" s="69"/>
    </row>
    <row r="52" spans="1:44" ht="11.25" customHeight="1">
      <c r="A52" s="759" t="s">
        <v>157</v>
      </c>
      <c r="B52" s="759" t="s">
        <v>158</v>
      </c>
      <c r="C52" s="759" t="s">
        <v>159</v>
      </c>
      <c r="D52" s="759" t="s">
        <v>160</v>
      </c>
      <c r="E52" s="1266"/>
      <c r="F52" s="1266"/>
      <c r="G52" s="1266"/>
      <c r="H52" s="1266"/>
      <c r="I52" s="1263"/>
      <c r="J52" s="759"/>
      <c r="K52" s="759"/>
      <c r="L52" s="760"/>
      <c r="P52" s="1264"/>
      <c r="Q52" s="120"/>
      <c r="R52" s="206"/>
      <c r="S52" s="732"/>
      <c r="T52" s="164" t="s">
        <v>411</v>
      </c>
      <c r="U52" s="211"/>
      <c r="V52" s="211"/>
      <c r="W52" s="211"/>
      <c r="X52" s="211"/>
      <c r="Y52" s="211"/>
      <c r="Z52" s="211"/>
      <c r="AA52" s="211"/>
      <c r="AB52" s="211"/>
      <c r="AC52" s="210"/>
      <c r="AD52" s="211"/>
      <c r="AE52" s="211"/>
      <c r="AF52" s="211"/>
      <c r="AG52" s="211"/>
      <c r="AH52" s="211"/>
      <c r="AI52" s="211"/>
      <c r="AJ52" s="211"/>
      <c r="AK52" s="210"/>
      <c r="AL52" s="211"/>
      <c r="AM52" s="172"/>
      <c r="AO52" s="69"/>
      <c r="AP52" s="69" t="str">
        <f t="shared" si="1"/>
        <v>Добавить группу потребителей</v>
      </c>
      <c r="AQ52" s="69"/>
      <c r="AR52" s="69"/>
    </row>
    <row r="53" spans="1:44" ht="14.25" customHeight="1">
      <c r="A53" s="759" t="s">
        <v>157</v>
      </c>
      <c r="B53" s="759" t="s">
        <v>158</v>
      </c>
      <c r="C53" s="759" t="s">
        <v>159</v>
      </c>
      <c r="D53" s="759" t="s">
        <v>160</v>
      </c>
      <c r="E53" s="1266"/>
      <c r="F53" s="1266"/>
      <c r="G53" s="1266"/>
      <c r="H53" s="1265"/>
      <c r="I53" s="759"/>
      <c r="J53" s="759"/>
      <c r="K53" s="759"/>
      <c r="L53" s="760"/>
      <c r="M53" s="417"/>
      <c r="N53" s="417"/>
      <c r="O53" s="63"/>
      <c r="P53" s="35"/>
      <c r="Q53" s="214"/>
      <c r="R53" s="205"/>
      <c r="S53" s="732"/>
      <c r="T53" s="209" t="s">
        <v>412</v>
      </c>
      <c r="U53" s="211"/>
      <c r="V53" s="211"/>
      <c r="W53" s="211"/>
      <c r="X53" s="211"/>
      <c r="Y53" s="211"/>
      <c r="Z53" s="211"/>
      <c r="AA53" s="211"/>
      <c r="AB53" s="211"/>
      <c r="AC53" s="210"/>
      <c r="AD53" s="211"/>
      <c r="AE53" s="211"/>
      <c r="AF53" s="211"/>
      <c r="AG53" s="211"/>
      <c r="AH53" s="211"/>
      <c r="AI53" s="211"/>
      <c r="AJ53" s="211"/>
      <c r="AK53" s="210"/>
      <c r="AL53" s="211"/>
      <c r="AM53" s="172"/>
      <c r="AO53" s="69"/>
      <c r="AP53" s="69" t="str">
        <f t="shared" si="1"/>
        <v>Добавить схему подключения</v>
      </c>
      <c r="AQ53" s="69"/>
      <c r="AR53" s="69"/>
    </row>
    <row r="54" spans="1:44" s="68" customFormat="1" ht="0.75" customHeight="1">
      <c r="A54" s="143" t="s">
        <v>157</v>
      </c>
      <c r="B54" s="143" t="s">
        <v>158</v>
      </c>
      <c r="C54" s="143" t="s">
        <v>159</v>
      </c>
      <c r="D54" s="143"/>
      <c r="E54" s="1266"/>
      <c r="F54" s="1266"/>
      <c r="G54" s="1265"/>
      <c r="H54" s="143"/>
      <c r="I54" s="143"/>
      <c r="J54" s="143"/>
      <c r="K54" s="143"/>
      <c r="L54" s="338"/>
      <c r="M54" s="291"/>
      <c r="N54" s="291"/>
      <c r="P54" s="102"/>
      <c r="Q54" s="745"/>
      <c r="R54" s="102"/>
      <c r="S54" s="750"/>
      <c r="T54" s="752" t="s">
        <v>413</v>
      </c>
      <c r="U54" s="311"/>
      <c r="V54" s="311"/>
      <c r="W54" s="311"/>
      <c r="X54" s="311"/>
      <c r="Y54" s="311"/>
      <c r="Z54" s="311"/>
      <c r="AA54" s="311"/>
      <c r="AB54" s="311"/>
      <c r="AC54" s="311"/>
      <c r="AD54" s="311"/>
      <c r="AE54" s="311"/>
      <c r="AF54" s="311"/>
      <c r="AG54" s="311"/>
      <c r="AH54" s="311"/>
      <c r="AI54" s="311"/>
      <c r="AJ54" s="311"/>
      <c r="AK54" s="311"/>
      <c r="AL54" s="311"/>
      <c r="AM54" s="311"/>
      <c r="AO54" s="69"/>
      <c r="AP54" s="69" t="str">
        <f t="shared" si="1"/>
        <v>Добавить источник для дифференциации</v>
      </c>
      <c r="AQ54" s="69"/>
      <c r="AR54" s="69"/>
    </row>
    <row r="55" spans="1:44" s="68" customFormat="1" ht="0.75" customHeight="1">
      <c r="A55" s="143" t="s">
        <v>157</v>
      </c>
      <c r="B55" s="143" t="s">
        <v>158</v>
      </c>
      <c r="C55" s="143"/>
      <c r="D55" s="143"/>
      <c r="E55" s="1266"/>
      <c r="F55" s="1265"/>
      <c r="G55" s="143"/>
      <c r="H55" s="143"/>
      <c r="I55" s="143"/>
      <c r="J55" s="143"/>
      <c r="K55" s="143"/>
      <c r="L55" s="338"/>
      <c r="M55" s="749"/>
      <c r="N55" s="749"/>
      <c r="P55" s="102"/>
      <c r="Q55" s="745"/>
      <c r="R55" s="102"/>
      <c r="S55" s="750"/>
      <c r="T55" s="752" t="s">
        <v>414</v>
      </c>
      <c r="U55" s="311"/>
      <c r="V55" s="311"/>
      <c r="W55" s="311"/>
      <c r="X55" s="311"/>
      <c r="Y55" s="311"/>
      <c r="Z55" s="311"/>
      <c r="AA55" s="311"/>
      <c r="AB55" s="311"/>
      <c r="AC55" s="311"/>
      <c r="AD55" s="311"/>
      <c r="AE55" s="311"/>
      <c r="AF55" s="311"/>
      <c r="AG55" s="311"/>
      <c r="AH55" s="311"/>
      <c r="AI55" s="311"/>
      <c r="AJ55" s="311"/>
      <c r="AK55" s="311"/>
      <c r="AL55" s="311"/>
      <c r="AM55" s="311"/>
      <c r="AO55" s="69"/>
      <c r="AP55" s="69" t="str">
        <f t="shared" si="1"/>
        <v>Добавить централизованную систему для дифференциации</v>
      </c>
      <c r="AQ55" s="69"/>
      <c r="AR55" s="69"/>
    </row>
    <row r="56" spans="1:44" s="68" customFormat="1" ht="0.75" customHeight="1">
      <c r="A56" s="143" t="s">
        <v>157</v>
      </c>
      <c r="B56" s="143"/>
      <c r="C56" s="143"/>
      <c r="D56" s="143"/>
      <c r="E56" s="1265"/>
      <c r="F56" s="143"/>
      <c r="G56" s="143"/>
      <c r="H56" s="143"/>
      <c r="I56" s="143"/>
      <c r="J56" s="143"/>
      <c r="K56" s="143"/>
      <c r="L56" s="338"/>
      <c r="M56" s="749"/>
      <c r="N56" s="749"/>
      <c r="P56" s="102"/>
      <c r="Q56" s="745"/>
      <c r="R56" s="102"/>
      <c r="S56" s="750"/>
      <c r="T56" s="752" t="s">
        <v>415</v>
      </c>
      <c r="U56" s="311"/>
      <c r="V56" s="311"/>
      <c r="W56" s="311"/>
      <c r="X56" s="311"/>
      <c r="Y56" s="311"/>
      <c r="Z56" s="311"/>
      <c r="AA56" s="311"/>
      <c r="AB56" s="311"/>
      <c r="AC56" s="311"/>
      <c r="AD56" s="311"/>
      <c r="AE56" s="311"/>
      <c r="AF56" s="311"/>
      <c r="AG56" s="311"/>
      <c r="AH56" s="311"/>
      <c r="AI56" s="311"/>
      <c r="AJ56" s="311"/>
      <c r="AK56" s="311"/>
      <c r="AL56" s="311"/>
      <c r="AM56" s="311"/>
      <c r="AO56" s="69"/>
      <c r="AP56" s="69" t="str">
        <f t="shared" si="1"/>
        <v>Добавить территорию для дифференциации</v>
      </c>
      <c r="AQ56" s="69"/>
      <c r="AR56" s="69"/>
    </row>
    <row r="57" spans="1:44" s="68" customFormat="1" ht="0.75" customHeight="1">
      <c r="A57" s="143"/>
      <c r="B57" s="143"/>
      <c r="C57" s="143"/>
      <c r="D57" s="143"/>
      <c r="E57" s="143"/>
      <c r="F57" s="143"/>
      <c r="G57" s="143"/>
      <c r="H57" s="143"/>
      <c r="I57" s="143"/>
      <c r="J57" s="143"/>
      <c r="K57" s="143"/>
      <c r="L57" s="338"/>
      <c r="M57" s="749"/>
      <c r="N57" s="749"/>
      <c r="P57" s="102"/>
      <c r="Q57" s="745"/>
      <c r="R57" s="102"/>
      <c r="S57" s="750"/>
      <c r="T57" s="752" t="s">
        <v>447</v>
      </c>
      <c r="U57" s="311"/>
      <c r="V57" s="311"/>
      <c r="W57" s="311"/>
      <c r="X57" s="311"/>
      <c r="Y57" s="311"/>
      <c r="Z57" s="311"/>
      <c r="AA57" s="311"/>
      <c r="AB57" s="311"/>
      <c r="AC57" s="311"/>
      <c r="AD57" s="311"/>
      <c r="AE57" s="311"/>
      <c r="AF57" s="311"/>
      <c r="AG57" s="311"/>
      <c r="AH57" s="311"/>
      <c r="AI57" s="311"/>
      <c r="AJ57" s="311"/>
      <c r="AK57" s="311"/>
      <c r="AL57" s="311"/>
      <c r="AM57" s="311"/>
      <c r="AO57" s="69"/>
      <c r="AP57" s="69" t="str">
        <f t="shared" si="1"/>
        <v>Добавить наименование тарифа</v>
      </c>
      <c r="AQ57" s="69"/>
      <c r="AR57" s="69"/>
    </row>
    <row r="58" spans="1:44" ht="11.25" customHeight="1">
      <c r="M58" s="63"/>
      <c r="N58" s="63"/>
      <c r="O58" s="63"/>
      <c r="P58" s="12"/>
      <c r="Q58" s="12"/>
      <c r="R58" s="12"/>
      <c r="S58" s="12"/>
      <c r="AN58" s="12"/>
      <c r="AO58" s="12"/>
      <c r="AP58" s="12"/>
      <c r="AQ58" s="12"/>
      <c r="AR58" s="12"/>
    </row>
    <row r="59" spans="1:44" ht="27" customHeight="1">
      <c r="O59" s="63"/>
      <c r="S59" s="196"/>
      <c r="T59" s="1285"/>
      <c r="U59" s="1285"/>
      <c r="V59" s="1285"/>
      <c r="W59" s="1285"/>
      <c r="X59" s="1285"/>
      <c r="Y59" s="1285"/>
      <c r="Z59" s="1285"/>
      <c r="AA59" s="1285"/>
      <c r="AB59" s="1285"/>
      <c r="AC59" s="1285"/>
      <c r="AD59" s="1285"/>
      <c r="AE59" s="1285"/>
      <c r="AF59" s="1285"/>
      <c r="AG59" s="1285"/>
      <c r="AH59" s="1285"/>
      <c r="AI59" s="1285"/>
      <c r="AJ59" s="1285"/>
      <c r="AK59" s="1285"/>
      <c r="AL59" s="1285"/>
      <c r="AM59" s="1285"/>
    </row>
    <row r="60" spans="1:44" ht="64.5" customHeight="1">
      <c r="O60" s="63"/>
      <c r="T60" s="1285"/>
      <c r="U60" s="1285"/>
      <c r="V60" s="1285"/>
      <c r="W60" s="1285"/>
      <c r="X60" s="1285"/>
      <c r="Y60" s="1285"/>
      <c r="Z60" s="1285"/>
      <c r="AA60" s="1285"/>
      <c r="AB60" s="1285"/>
      <c r="AC60" s="1285"/>
      <c r="AD60" s="1285"/>
      <c r="AE60" s="1285"/>
      <c r="AF60" s="1285"/>
      <c r="AG60" s="1285"/>
      <c r="AH60" s="1285"/>
      <c r="AI60" s="1285"/>
      <c r="AJ60" s="1285"/>
      <c r="AK60" s="1285"/>
      <c r="AL60" s="1285"/>
      <c r="AM60" s="1285"/>
    </row>
    <row r="61" spans="1:44" ht="14.25" customHeight="1">
      <c r="O61" s="63"/>
    </row>
    <row r="62" spans="1:44" ht="18" customHeight="1">
      <c r="O62" s="63"/>
      <c r="S62" s="196"/>
      <c r="T62" s="1285"/>
      <c r="U62" s="1285"/>
      <c r="V62" s="1285"/>
      <c r="W62" s="1285"/>
      <c r="X62" s="1285"/>
      <c r="Y62" s="1285"/>
      <c r="Z62" s="1285"/>
      <c r="AA62" s="1285"/>
      <c r="AB62" s="1285"/>
      <c r="AC62" s="1285"/>
      <c r="AD62" s="1285"/>
      <c r="AE62" s="1285"/>
      <c r="AF62" s="1285"/>
      <c r="AG62" s="1285"/>
      <c r="AH62" s="1285"/>
      <c r="AI62" s="1285"/>
      <c r="AJ62" s="1285"/>
      <c r="AK62" s="1285"/>
      <c r="AL62" s="1285"/>
      <c r="AM62" s="1285"/>
    </row>
    <row r="63" spans="1:44" ht="18" customHeight="1">
      <c r="O63" s="63"/>
      <c r="T63" s="1285"/>
      <c r="U63" s="1285"/>
      <c r="V63" s="1285"/>
      <c r="W63" s="1285"/>
      <c r="X63" s="1285"/>
      <c r="Y63" s="1285"/>
      <c r="Z63" s="1285"/>
      <c r="AA63" s="1285"/>
      <c r="AB63" s="1285"/>
      <c r="AC63" s="1285"/>
      <c r="AD63" s="1285"/>
      <c r="AE63" s="1285"/>
      <c r="AF63" s="1285"/>
      <c r="AG63" s="1285"/>
      <c r="AH63" s="1285"/>
      <c r="AI63" s="1285"/>
      <c r="AJ63" s="1285"/>
      <c r="AK63" s="1285"/>
      <c r="AL63" s="1285"/>
      <c r="AM63" s="1285"/>
    </row>
    <row r="64" spans="1:44" ht="27.75" customHeight="1">
      <c r="O64" s="63"/>
      <c r="S64" s="196"/>
      <c r="T64" s="1285"/>
      <c r="U64" s="1285"/>
      <c r="V64" s="1285"/>
      <c r="W64" s="1285"/>
      <c r="X64" s="1285"/>
      <c r="Y64" s="1285"/>
      <c r="Z64" s="1285"/>
      <c r="AA64" s="1285"/>
      <c r="AB64" s="1285"/>
      <c r="AC64" s="1285"/>
      <c r="AD64" s="1285"/>
      <c r="AE64" s="1285"/>
      <c r="AF64" s="1285"/>
      <c r="AG64" s="1285"/>
      <c r="AH64" s="1285"/>
      <c r="AI64" s="1285"/>
      <c r="AJ64" s="1285"/>
      <c r="AK64" s="1285"/>
      <c r="AL64" s="1285"/>
      <c r="AM64" s="1285"/>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E535F-17D8-F05C-4D96-AAA15286EA1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299" hidden="1" customWidth="1"/>
    <col min="13" max="14" width="12.28515625" style="497" hidden="1" customWidth="1"/>
    <col min="15" max="15" width="23.42578125" style="497" hidden="1" customWidth="1"/>
    <col min="16" max="16" width="3.7109375" style="34" customWidth="1"/>
    <col min="17" max="18" width="3.7109375" style="30" customWidth="1"/>
    <col min="19" max="19" width="12.7109375" style="334" customWidth="1"/>
    <col min="20" max="20" width="32" style="12" customWidth="1"/>
    <col min="21" max="21" width="0.140625" style="12" customWidth="1"/>
    <col min="22" max="22" width="24.7109375" style="12" hidden="1" customWidth="1"/>
    <col min="23" max="23" width="0.140625" style="12" hidden="1" customWidth="1"/>
    <col min="24" max="25" width="24.7109375" style="12" hidden="1" customWidth="1"/>
    <col min="26" max="26" width="11.7109375" style="12" hidden="1" customWidth="1"/>
    <col min="27" max="27" width="3.7109375" style="12" hidden="1" customWidth="1"/>
    <col min="28" max="28" width="11.7109375" style="12" hidden="1" customWidth="1"/>
    <col min="29" max="29" width="8.5703125" style="12" hidden="1" customWidth="1"/>
    <col min="30" max="30" width="24.7109375" style="12" customWidth="1"/>
    <col min="31" max="31" width="0.140625" style="12" customWidth="1"/>
    <col min="32" max="33" width="24.7109375" style="12" customWidth="1"/>
    <col min="34" max="34" width="11.7109375" style="12" customWidth="1"/>
    <col min="35" max="35" width="3.7109375" style="12" customWidth="1"/>
    <col min="36" max="36" width="11.7109375" style="12" customWidth="1"/>
    <col min="37" max="37" width="8.5703125" style="12" hidden="1" customWidth="1"/>
    <col min="38" max="38" width="4.7109375" style="12" customWidth="1"/>
    <col min="39" max="39" width="115.7109375" style="12" customWidth="1"/>
    <col min="40" max="41" width="10.5703125" style="68"/>
    <col min="42" max="42" width="11.140625" style="68" customWidth="1"/>
    <col min="43" max="44" width="10.5703125" style="68"/>
  </cols>
  <sheetData>
    <row r="1" spans="1:44" ht="14.25" hidden="1" customHeight="1"/>
    <row r="2" spans="1:44" ht="21" hidden="1" customHeight="1">
      <c r="A2" s="759"/>
      <c r="B2" s="759"/>
      <c r="C2" s="759"/>
      <c r="D2" s="759"/>
      <c r="E2" s="1265">
        <v>1</v>
      </c>
      <c r="F2" s="759"/>
      <c r="G2" s="759"/>
      <c r="H2" s="759"/>
      <c r="I2" s="759"/>
      <c r="J2" s="759"/>
      <c r="K2" s="759"/>
      <c r="L2" s="760"/>
      <c r="M2" s="417"/>
      <c r="N2" s="417"/>
      <c r="O2" s="417"/>
      <c r="Q2" s="35"/>
      <c r="R2" s="205"/>
      <c r="S2" s="698" t="e">
        <f>INDEX(PT_DIFFERENTIATION_NUM_NTAR,MATCH(A2,PT_DIFFERENTIATION_NTAR_ID,0))</f>
        <v>#N/A</v>
      </c>
      <c r="T2" s="67" t="s">
        <v>124</v>
      </c>
      <c r="U2" s="169"/>
      <c r="V2" s="1251"/>
      <c r="W2" s="1252"/>
      <c r="X2" s="1252"/>
      <c r="Y2" s="1252"/>
      <c r="Z2" s="1252"/>
      <c r="AA2" s="1252"/>
      <c r="AB2" s="1252"/>
      <c r="AC2" s="1253"/>
      <c r="AD2" s="1251" t="e">
        <f>INDEX(PT_DIFFERENTIATION_NTAR,MATCH(A2,PT_DIFFERENTIATION_NTAR_ID,0))</f>
        <v>#N/A</v>
      </c>
      <c r="AE2" s="1252"/>
      <c r="AF2" s="1252"/>
      <c r="AG2" s="1252"/>
      <c r="AH2" s="1252"/>
      <c r="AI2" s="1252"/>
      <c r="AJ2" s="1252"/>
      <c r="AK2" s="1252"/>
      <c r="AL2" s="1253"/>
      <c r="AM2" s="718" t="s">
        <v>395</v>
      </c>
      <c r="AO2" s="69"/>
      <c r="AP2" s="69" t="str">
        <f t="shared" ref="AP2:AP15" si="0">IF(T2="","",T2)</f>
        <v>Наименование тарифа</v>
      </c>
      <c r="AQ2" s="69"/>
      <c r="AR2" s="69"/>
    </row>
    <row r="3" spans="1:44" ht="21" hidden="1" customHeight="1">
      <c r="A3" s="759"/>
      <c r="B3" s="759"/>
      <c r="C3" s="759"/>
      <c r="D3" s="759"/>
      <c r="E3" s="1266"/>
      <c r="F3" s="1265">
        <v>1</v>
      </c>
      <c r="G3" s="759"/>
      <c r="H3" s="759"/>
      <c r="I3" s="759"/>
      <c r="J3" s="759"/>
      <c r="K3" s="759"/>
      <c r="L3" s="760"/>
      <c r="M3" s="417"/>
      <c r="N3" s="417"/>
      <c r="O3" s="417"/>
      <c r="P3" s="59"/>
      <c r="Q3" s="202"/>
      <c r="R3" s="203"/>
      <c r="S3" s="698" t="e">
        <f>INDEX(PT_DIFFERENTIATION_NUM_TER,MATCH(B3,PT_DIFFERENTIATION_TER_ID,0))</f>
        <v>#N/A</v>
      </c>
      <c r="T3" s="175" t="s">
        <v>396</v>
      </c>
      <c r="U3" s="169"/>
      <c r="V3" s="1251"/>
      <c r="W3" s="1252"/>
      <c r="X3" s="1252"/>
      <c r="Y3" s="1252"/>
      <c r="Z3" s="1252"/>
      <c r="AA3" s="1252"/>
      <c r="AB3" s="1252"/>
      <c r="AC3" s="1253"/>
      <c r="AD3" s="1251" t="e">
        <f>INDEX(PT_DIFFERENTIATION_TER,MATCH(B3,PT_DIFFERENTIATION_TER_ID,0))</f>
        <v>#N/A</v>
      </c>
      <c r="AE3" s="1252"/>
      <c r="AF3" s="1252"/>
      <c r="AG3" s="1252"/>
      <c r="AH3" s="1252"/>
      <c r="AI3" s="1252"/>
      <c r="AJ3" s="1252"/>
      <c r="AK3" s="1252"/>
      <c r="AL3" s="1253"/>
      <c r="AM3" s="718" t="s">
        <v>397</v>
      </c>
      <c r="AO3" s="69"/>
      <c r="AP3" s="69" t="str">
        <f t="shared" si="0"/>
        <v>Территория действия тарифа</v>
      </c>
      <c r="AQ3" s="69"/>
      <c r="AR3" s="69"/>
    </row>
    <row r="4" spans="1:44" ht="23.25" hidden="1" customHeight="1">
      <c r="A4" s="759"/>
      <c r="B4" s="759"/>
      <c r="C4" s="759"/>
      <c r="D4" s="759"/>
      <c r="E4" s="1266"/>
      <c r="F4" s="1266"/>
      <c r="G4" s="1265">
        <v>1</v>
      </c>
      <c r="H4" s="759"/>
      <c r="I4" s="759"/>
      <c r="J4" s="759"/>
      <c r="K4" s="759"/>
      <c r="L4" s="760"/>
      <c r="M4" s="417"/>
      <c r="N4" s="417"/>
      <c r="O4" s="417"/>
      <c r="P4" s="204"/>
      <c r="Q4" s="202"/>
      <c r="R4" s="203"/>
      <c r="S4" s="698" t="e">
        <f>INDEX(PT_DIFFERENTIATION_NUM_CS,MATCH(C4,PT_DIFFERENTIATION_CS_ID,0))</f>
        <v>#N/A</v>
      </c>
      <c r="T4" s="176" t="s">
        <v>398</v>
      </c>
      <c r="U4" s="169"/>
      <c r="V4" s="1251"/>
      <c r="W4" s="1252"/>
      <c r="X4" s="1252"/>
      <c r="Y4" s="1252"/>
      <c r="Z4" s="1252"/>
      <c r="AA4" s="1252"/>
      <c r="AB4" s="1252"/>
      <c r="AC4" s="1253"/>
      <c r="AD4" s="1251" t="e">
        <f>INDEX(PT_DIFFERENTIATION_CS,MATCH(C4,PT_DIFFERENTIATION_CS_ID,0))</f>
        <v>#N/A</v>
      </c>
      <c r="AE4" s="1252"/>
      <c r="AF4" s="1252"/>
      <c r="AG4" s="1252"/>
      <c r="AH4" s="1252"/>
      <c r="AI4" s="1252"/>
      <c r="AJ4" s="1252"/>
      <c r="AK4" s="1252"/>
      <c r="AL4" s="1253"/>
      <c r="AM4" s="718" t="s">
        <v>399</v>
      </c>
      <c r="AO4" s="69"/>
      <c r="AP4" s="69" t="str">
        <f t="shared" si="0"/>
        <v xml:space="preserve">Наименование системы теплоснабжения </v>
      </c>
      <c r="AQ4" s="69"/>
      <c r="AR4" s="69"/>
    </row>
    <row r="5" spans="1:44" ht="21" hidden="1" customHeight="1">
      <c r="A5" s="759"/>
      <c r="B5" s="759"/>
      <c r="C5" s="759"/>
      <c r="D5" s="759"/>
      <c r="E5" s="1266"/>
      <c r="F5" s="1266"/>
      <c r="G5" s="1266"/>
      <c r="H5" s="1265">
        <v>1</v>
      </c>
      <c r="I5" s="759"/>
      <c r="J5" s="759"/>
      <c r="K5" s="759"/>
      <c r="L5" s="760"/>
      <c r="M5" s="417"/>
      <c r="N5" s="417"/>
      <c r="O5" s="417"/>
      <c r="P5" s="204"/>
      <c r="Q5" s="202"/>
      <c r="R5" s="203"/>
      <c r="S5" s="698" t="e">
        <f>INDEX(PT_DIFFERENTIATION_NUM_IST_TE,MATCH(D5,PT_DIFFERENTIATION_IST_TE_ID,0))</f>
        <v>#N/A</v>
      </c>
      <c r="T5" s="177" t="s">
        <v>400</v>
      </c>
      <c r="U5" s="169"/>
      <c r="V5" s="1251"/>
      <c r="W5" s="1252"/>
      <c r="X5" s="1252"/>
      <c r="Y5" s="1252"/>
      <c r="Z5" s="1252"/>
      <c r="AA5" s="1252"/>
      <c r="AB5" s="1252"/>
      <c r="AC5" s="1253"/>
      <c r="AD5" s="1251" t="e">
        <f>INDEX(PT_DIFFERENTIATION_IST_TE,MATCH(D5,PT_DIFFERENTIATION_IST_TE_ID,0))</f>
        <v>#N/A</v>
      </c>
      <c r="AE5" s="1252"/>
      <c r="AF5" s="1252"/>
      <c r="AG5" s="1252"/>
      <c r="AH5" s="1252"/>
      <c r="AI5" s="1252"/>
      <c r="AJ5" s="1252"/>
      <c r="AK5" s="1252"/>
      <c r="AL5" s="1253"/>
      <c r="AM5" s="718" t="s">
        <v>401</v>
      </c>
      <c r="AO5" s="69"/>
      <c r="AP5" s="69" t="str">
        <f t="shared" si="0"/>
        <v xml:space="preserve">Источник тепловой энергии  </v>
      </c>
      <c r="AQ5" s="69"/>
      <c r="AR5" s="69"/>
    </row>
    <row r="6" spans="1:44" ht="47.25" hidden="1" customHeight="1">
      <c r="A6" s="759"/>
      <c r="B6" s="759"/>
      <c r="C6" s="759"/>
      <c r="D6" s="759"/>
      <c r="E6" s="1266"/>
      <c r="F6" s="1266"/>
      <c r="G6" s="1266"/>
      <c r="H6" s="1266"/>
      <c r="I6" s="1263" t="e">
        <f>S5&amp;".1"</f>
        <v>#N/A</v>
      </c>
      <c r="J6" s="759"/>
      <c r="K6" s="759"/>
      <c r="L6" s="760" t="s">
        <v>402</v>
      </c>
      <c r="M6" s="63"/>
      <c r="P6" s="1264">
        <v>1</v>
      </c>
      <c r="Q6" s="120"/>
      <c r="R6" s="206"/>
      <c r="S6" s="698" t="e">
        <f>$I6</f>
        <v>#N/A</v>
      </c>
      <c r="T6" s="162" t="s">
        <v>403</v>
      </c>
      <c r="U6" s="169"/>
      <c r="V6" s="1254"/>
      <c r="W6" s="1255"/>
      <c r="X6" s="1255"/>
      <c r="Y6" s="1255"/>
      <c r="Z6" s="1255"/>
      <c r="AA6" s="1255"/>
      <c r="AB6" s="1255"/>
      <c r="AC6" s="1256"/>
      <c r="AD6" s="1254"/>
      <c r="AE6" s="1255"/>
      <c r="AF6" s="1255"/>
      <c r="AG6" s="1255"/>
      <c r="AH6" s="1255"/>
      <c r="AI6" s="1255"/>
      <c r="AJ6" s="1255"/>
      <c r="AK6" s="1255"/>
      <c r="AL6" s="1256"/>
      <c r="AM6" s="718" t="s">
        <v>404</v>
      </c>
      <c r="AO6" s="69"/>
      <c r="AP6" s="69" t="str">
        <f t="shared" si="0"/>
        <v>Схема подключения теплопотребляющей установки к коллектору источника тепловой энергии</v>
      </c>
      <c r="AQ6" s="69"/>
      <c r="AR6" s="69"/>
    </row>
    <row r="7" spans="1:44" ht="21" hidden="1" customHeight="1">
      <c r="A7" s="759"/>
      <c r="B7" s="759"/>
      <c r="C7" s="759"/>
      <c r="D7" s="759"/>
      <c r="E7" s="1266"/>
      <c r="F7" s="1266"/>
      <c r="G7" s="1266"/>
      <c r="H7" s="1266"/>
      <c r="I7" s="1286"/>
      <c r="J7" s="1263" t="e">
        <f>I6&amp;".1"</f>
        <v>#N/A</v>
      </c>
      <c r="K7" s="759"/>
      <c r="L7" s="760" t="s">
        <v>405</v>
      </c>
      <c r="M7" s="63"/>
      <c r="N7" s="63"/>
      <c r="P7" s="1264"/>
      <c r="Q7" s="1264">
        <v>1</v>
      </c>
      <c r="R7" s="207"/>
      <c r="S7" s="698" t="e">
        <f>$J7</f>
        <v>#N/A</v>
      </c>
      <c r="T7" s="163" t="s">
        <v>406</v>
      </c>
      <c r="U7" s="169"/>
      <c r="V7" s="1254"/>
      <c r="W7" s="1255"/>
      <c r="X7" s="1255"/>
      <c r="Y7" s="1255"/>
      <c r="Z7" s="1255"/>
      <c r="AA7" s="1255"/>
      <c r="AB7" s="1255"/>
      <c r="AC7" s="1256"/>
      <c r="AD7" s="1254"/>
      <c r="AE7" s="1255"/>
      <c r="AF7" s="1255"/>
      <c r="AG7" s="1255"/>
      <c r="AH7" s="1255"/>
      <c r="AI7" s="1255"/>
      <c r="AJ7" s="1255"/>
      <c r="AK7" s="1255"/>
      <c r="AL7" s="1256"/>
      <c r="AM7" s="718" t="s">
        <v>407</v>
      </c>
      <c r="AO7" s="69"/>
      <c r="AP7" s="69" t="str">
        <f t="shared" si="0"/>
        <v>Группа потребителей</v>
      </c>
      <c r="AQ7" s="69"/>
      <c r="AR7" s="69"/>
    </row>
    <row r="8" spans="1:44" ht="21" hidden="1" customHeight="1">
      <c r="A8" s="759"/>
      <c r="B8" s="759"/>
      <c r="C8" s="759"/>
      <c r="D8" s="759"/>
      <c r="E8" s="1266"/>
      <c r="F8" s="1266"/>
      <c r="G8" s="1266"/>
      <c r="H8" s="1266"/>
      <c r="I8" s="1286"/>
      <c r="J8" s="1286"/>
      <c r="K8" s="1263" t="e">
        <f>J7&amp;".1"</f>
        <v>#N/A</v>
      </c>
      <c r="L8" s="760" t="s">
        <v>408</v>
      </c>
      <c r="M8" s="63"/>
      <c r="N8" s="63"/>
      <c r="O8" s="63"/>
      <c r="P8" s="1264"/>
      <c r="Q8" s="1264"/>
      <c r="R8" s="207">
        <v>1</v>
      </c>
      <c r="S8" s="698" t="e">
        <f>$K8</f>
        <v>#N/A</v>
      </c>
      <c r="T8" s="755"/>
      <c r="U8" s="169"/>
      <c r="V8" s="304"/>
      <c r="W8" s="189"/>
      <c r="X8" s="304"/>
      <c r="Y8" s="717"/>
      <c r="Z8" s="1268"/>
      <c r="AA8" s="1127" t="s">
        <v>62</v>
      </c>
      <c r="AB8" s="1268"/>
      <c r="AC8" s="1127" t="s">
        <v>62</v>
      </c>
      <c r="AD8" s="304"/>
      <c r="AE8" s="189"/>
      <c r="AF8" s="304"/>
      <c r="AG8" s="717"/>
      <c r="AH8" s="1268"/>
      <c r="AI8" s="1127" t="s">
        <v>62</v>
      </c>
      <c r="AJ8" s="1268"/>
      <c r="AK8" s="1127" t="s">
        <v>62</v>
      </c>
      <c r="AL8" s="189"/>
      <c r="AM8" s="1260" t="s">
        <v>409</v>
      </c>
      <c r="AN8" s="68" t="e">
        <f ca="1">STRCHECKDATE(V9:AL9)</f>
        <v>#NAME?</v>
      </c>
      <c r="AO8" s="69"/>
      <c r="AP8" s="69" t="str">
        <f t="shared" si="0"/>
        <v/>
      </c>
      <c r="AQ8" s="69"/>
      <c r="AR8" s="69"/>
    </row>
    <row r="9" spans="1:44" ht="0.75" hidden="1" customHeight="1">
      <c r="A9" s="759"/>
      <c r="B9" s="759"/>
      <c r="C9" s="759"/>
      <c r="D9" s="759"/>
      <c r="E9" s="1266"/>
      <c r="F9" s="1266"/>
      <c r="G9" s="1266"/>
      <c r="H9" s="1266"/>
      <c r="I9" s="1286"/>
      <c r="J9" s="1286"/>
      <c r="K9" s="1263"/>
      <c r="L9" s="760"/>
      <c r="M9" s="63"/>
      <c r="N9" s="63"/>
      <c r="O9" s="63"/>
      <c r="P9" s="1264"/>
      <c r="Q9" s="1264"/>
      <c r="R9" s="207"/>
      <c r="S9" s="65"/>
      <c r="T9" s="169"/>
      <c r="U9" s="169"/>
      <c r="V9" s="189"/>
      <c r="W9" s="189"/>
      <c r="X9" s="189"/>
      <c r="Y9" s="190" t="str">
        <f>Z8&amp;"-"&amp;AB8</f>
        <v>-</v>
      </c>
      <c r="Z9" s="1269"/>
      <c r="AA9" s="1127"/>
      <c r="AB9" s="1269"/>
      <c r="AC9" s="1127"/>
      <c r="AD9" s="189"/>
      <c r="AE9" s="189"/>
      <c r="AF9" s="189"/>
      <c r="AG9" s="190" t="str">
        <f>AH8&amp;"-"&amp;AJ8</f>
        <v>-</v>
      </c>
      <c r="AH9" s="1269"/>
      <c r="AI9" s="1127"/>
      <c r="AJ9" s="1269"/>
      <c r="AK9" s="1127"/>
      <c r="AL9" s="189"/>
      <c r="AM9" s="1261"/>
      <c r="AO9" s="69"/>
      <c r="AP9" s="69" t="str">
        <f t="shared" si="0"/>
        <v/>
      </c>
      <c r="AQ9" s="69"/>
      <c r="AR9" s="69"/>
    </row>
    <row r="10" spans="1:44" ht="15" hidden="1" customHeight="1">
      <c r="A10" s="759"/>
      <c r="B10" s="759"/>
      <c r="C10" s="759"/>
      <c r="D10" s="759"/>
      <c r="E10" s="1266"/>
      <c r="F10" s="1266"/>
      <c r="G10" s="1266"/>
      <c r="H10" s="1266"/>
      <c r="I10" s="1286"/>
      <c r="J10" s="1263"/>
      <c r="K10" s="759"/>
      <c r="L10" s="760"/>
      <c r="M10" s="63"/>
      <c r="N10" s="63"/>
      <c r="P10" s="1264"/>
      <c r="Q10" s="1264"/>
      <c r="R10" s="206"/>
      <c r="S10" s="732"/>
      <c r="T10" s="165" t="s">
        <v>410</v>
      </c>
      <c r="U10" s="211"/>
      <c r="V10" s="211"/>
      <c r="W10" s="211"/>
      <c r="X10" s="211"/>
      <c r="Y10" s="211"/>
      <c r="Z10" s="211"/>
      <c r="AA10" s="211"/>
      <c r="AB10" s="211"/>
      <c r="AC10" s="211"/>
      <c r="AD10" s="211"/>
      <c r="AE10" s="211"/>
      <c r="AF10" s="211"/>
      <c r="AG10" s="211"/>
      <c r="AH10" s="211"/>
      <c r="AI10" s="211"/>
      <c r="AJ10" s="211"/>
      <c r="AK10" s="211"/>
      <c r="AL10" s="188"/>
      <c r="AM10" s="1262"/>
      <c r="AO10" s="69"/>
      <c r="AP10" s="69" t="str">
        <f t="shared" si="0"/>
        <v>Добавить вид теплоносителя (параметры теплоносителя)</v>
      </c>
      <c r="AQ10" s="69"/>
      <c r="AR10" s="69"/>
    </row>
    <row r="11" spans="1:44" ht="15" hidden="1" customHeight="1">
      <c r="A11" s="759"/>
      <c r="B11" s="759"/>
      <c r="C11" s="759"/>
      <c r="D11" s="759"/>
      <c r="E11" s="1266"/>
      <c r="F11" s="1266"/>
      <c r="G11" s="1266"/>
      <c r="H11" s="1266"/>
      <c r="I11" s="1263"/>
      <c r="J11" s="759"/>
      <c r="K11" s="759"/>
      <c r="L11" s="760"/>
      <c r="M11" s="63"/>
      <c r="P11" s="1264"/>
      <c r="Q11" s="120"/>
      <c r="R11" s="206"/>
      <c r="S11" s="732"/>
      <c r="T11" s="164" t="s">
        <v>411</v>
      </c>
      <c r="U11" s="211"/>
      <c r="V11" s="211"/>
      <c r="W11" s="211"/>
      <c r="X11" s="211"/>
      <c r="Y11" s="211"/>
      <c r="Z11" s="211"/>
      <c r="AA11" s="211"/>
      <c r="AB11" s="211"/>
      <c r="AC11" s="210"/>
      <c r="AD11" s="211"/>
      <c r="AE11" s="211"/>
      <c r="AF11" s="211"/>
      <c r="AG11" s="211"/>
      <c r="AH11" s="211"/>
      <c r="AI11" s="211"/>
      <c r="AJ11" s="211"/>
      <c r="AK11" s="210"/>
      <c r="AL11" s="211"/>
      <c r="AM11" s="172"/>
      <c r="AO11" s="69"/>
      <c r="AP11" s="69" t="str">
        <f t="shared" si="0"/>
        <v>Добавить группу потребителей</v>
      </c>
      <c r="AQ11" s="69"/>
      <c r="AR11" s="69"/>
    </row>
    <row r="12" spans="1:44" ht="14.25" hidden="1" customHeight="1">
      <c r="A12" s="759"/>
      <c r="B12" s="759"/>
      <c r="C12" s="759"/>
      <c r="D12" s="759"/>
      <c r="E12" s="1266"/>
      <c r="F12" s="1266"/>
      <c r="G12" s="1266"/>
      <c r="H12" s="1265"/>
      <c r="I12" s="759"/>
      <c r="J12" s="759"/>
      <c r="K12" s="759"/>
      <c r="L12" s="760"/>
      <c r="M12" s="417"/>
      <c r="N12" s="417"/>
      <c r="O12" s="63"/>
      <c r="P12" s="35"/>
      <c r="Q12" s="214"/>
      <c r="R12" s="205"/>
      <c r="S12" s="732"/>
      <c r="T12" s="209" t="s">
        <v>412</v>
      </c>
      <c r="U12" s="211"/>
      <c r="V12" s="211"/>
      <c r="W12" s="211"/>
      <c r="X12" s="211"/>
      <c r="Y12" s="211"/>
      <c r="Z12" s="211"/>
      <c r="AA12" s="211"/>
      <c r="AB12" s="211"/>
      <c r="AC12" s="210"/>
      <c r="AD12" s="211"/>
      <c r="AE12" s="211"/>
      <c r="AF12" s="211"/>
      <c r="AG12" s="211"/>
      <c r="AH12" s="211"/>
      <c r="AI12" s="211"/>
      <c r="AJ12" s="211"/>
      <c r="AK12" s="210"/>
      <c r="AL12" s="211"/>
      <c r="AM12" s="172"/>
      <c r="AO12" s="69"/>
      <c r="AP12" s="69" t="str">
        <f t="shared" si="0"/>
        <v>Добавить схему подключения</v>
      </c>
      <c r="AQ12" s="69"/>
      <c r="AR12" s="69"/>
    </row>
    <row r="13" spans="1:44" s="68" customFormat="1" ht="0.75" hidden="1" customHeight="1">
      <c r="A13" s="143"/>
      <c r="B13" s="143"/>
      <c r="C13" s="143"/>
      <c r="D13" s="143"/>
      <c r="E13" s="1266"/>
      <c r="F13" s="1266"/>
      <c r="G13" s="1265"/>
      <c r="H13" s="143"/>
      <c r="I13" s="143"/>
      <c r="J13" s="143"/>
      <c r="K13" s="143"/>
      <c r="L13" s="338"/>
      <c r="M13" s="291"/>
      <c r="N13" s="291"/>
      <c r="P13" s="102"/>
      <c r="Q13" s="745"/>
      <c r="R13" s="102"/>
      <c r="S13" s="746"/>
      <c r="T13" s="747" t="s">
        <v>413</v>
      </c>
      <c r="U13" s="748"/>
      <c r="V13" s="748"/>
      <c r="W13" s="748"/>
      <c r="X13" s="748"/>
      <c r="Y13" s="748"/>
      <c r="Z13" s="748"/>
      <c r="AA13" s="748"/>
      <c r="AB13" s="748"/>
      <c r="AC13" s="748"/>
      <c r="AD13" s="748"/>
      <c r="AE13" s="748"/>
      <c r="AF13" s="748"/>
      <c r="AG13" s="748"/>
      <c r="AH13" s="748"/>
      <c r="AI13" s="748"/>
      <c r="AJ13" s="748"/>
      <c r="AK13" s="748"/>
      <c r="AL13" s="748"/>
      <c r="AM13" s="748"/>
      <c r="AO13" s="69"/>
      <c r="AP13" s="69" t="str">
        <f t="shared" si="0"/>
        <v>Добавить источник для дифференциации</v>
      </c>
      <c r="AQ13" s="69"/>
      <c r="AR13" s="69"/>
    </row>
    <row r="14" spans="1:44" s="68" customFormat="1" ht="0.75" hidden="1" customHeight="1">
      <c r="A14" s="143"/>
      <c r="B14" s="143"/>
      <c r="C14" s="143"/>
      <c r="D14" s="143"/>
      <c r="E14" s="1266"/>
      <c r="F14" s="1265"/>
      <c r="G14" s="143"/>
      <c r="H14" s="143"/>
      <c r="I14" s="143"/>
      <c r="J14" s="143"/>
      <c r="K14" s="143"/>
      <c r="L14" s="338"/>
      <c r="M14" s="749"/>
      <c r="N14" s="749"/>
      <c r="P14" s="102"/>
      <c r="Q14" s="745"/>
      <c r="R14" s="102"/>
      <c r="S14" s="750"/>
      <c r="T14" s="751" t="s">
        <v>414</v>
      </c>
      <c r="U14" s="311"/>
      <c r="V14" s="311"/>
      <c r="W14" s="311"/>
      <c r="X14" s="311"/>
      <c r="Y14" s="311"/>
      <c r="Z14" s="311"/>
      <c r="AA14" s="311"/>
      <c r="AB14" s="311"/>
      <c r="AC14" s="311"/>
      <c r="AD14" s="311"/>
      <c r="AE14" s="311"/>
      <c r="AF14" s="311"/>
      <c r="AG14" s="311"/>
      <c r="AH14" s="311"/>
      <c r="AI14" s="311"/>
      <c r="AJ14" s="311"/>
      <c r="AK14" s="311"/>
      <c r="AL14" s="311"/>
      <c r="AM14" s="311"/>
      <c r="AO14" s="69"/>
      <c r="AP14" s="69" t="str">
        <f t="shared" si="0"/>
        <v>Добавить централизованную систему для дифференциации</v>
      </c>
      <c r="AQ14" s="69"/>
      <c r="AR14" s="69"/>
    </row>
    <row r="15" spans="1:44" s="68" customFormat="1" ht="0.75" hidden="1" customHeight="1">
      <c r="A15" s="143"/>
      <c r="B15" s="143"/>
      <c r="C15" s="143"/>
      <c r="D15" s="143"/>
      <c r="E15" s="1265"/>
      <c r="F15" s="143"/>
      <c r="G15" s="143"/>
      <c r="H15" s="143"/>
      <c r="I15" s="143"/>
      <c r="J15" s="143"/>
      <c r="K15" s="143"/>
      <c r="L15" s="338"/>
      <c r="M15" s="749"/>
      <c r="N15" s="749"/>
      <c r="P15" s="102"/>
      <c r="Q15" s="745"/>
      <c r="R15" s="102"/>
      <c r="S15" s="750"/>
      <c r="T15" s="752" t="s">
        <v>415</v>
      </c>
      <c r="U15" s="311"/>
      <c r="V15" s="311"/>
      <c r="W15" s="311"/>
      <c r="X15" s="311"/>
      <c r="Y15" s="311"/>
      <c r="Z15" s="311"/>
      <c r="AA15" s="311"/>
      <c r="AB15" s="311"/>
      <c r="AC15" s="311"/>
      <c r="AD15" s="311"/>
      <c r="AE15" s="311"/>
      <c r="AF15" s="311"/>
      <c r="AG15" s="311"/>
      <c r="AH15" s="311"/>
      <c r="AI15" s="311"/>
      <c r="AJ15" s="311"/>
      <c r="AK15" s="311"/>
      <c r="AL15" s="311"/>
      <c r="AM15" s="311"/>
      <c r="AO15" s="69"/>
      <c r="AP15" s="69" t="str">
        <f t="shared" si="0"/>
        <v>Добавить территорию для дифференциации</v>
      </c>
      <c r="AQ15" s="69"/>
      <c r="AR15" s="69"/>
    </row>
    <row r="16" spans="1:44" ht="14.25" hidden="1" customHeight="1"/>
    <row r="17" spans="1:44" ht="14.25" hidden="1" customHeight="1">
      <c r="AD17" s="359"/>
      <c r="AE17" s="359"/>
      <c r="AF17" s="359"/>
      <c r="AG17" s="758"/>
      <c r="AH17" s="1270"/>
      <c r="AI17" s="1271" t="s">
        <v>62</v>
      </c>
      <c r="AJ17" s="1270"/>
      <c r="AK17" s="1271" t="s">
        <v>62</v>
      </c>
    </row>
    <row r="18" spans="1:44" ht="14.25" hidden="1" customHeight="1">
      <c r="AD18" s="359"/>
      <c r="AE18" s="359"/>
      <c r="AF18" s="359"/>
      <c r="AG18" s="190" t="str">
        <f>AH17&amp;"-"&amp;AJ17</f>
        <v>-</v>
      </c>
      <c r="AH18" s="1271"/>
      <c r="AI18" s="1271"/>
      <c r="AJ18" s="1271"/>
      <c r="AK18" s="1271"/>
    </row>
    <row r="19" spans="1:44" ht="14.25" hidden="1" customHeight="1"/>
    <row r="20" spans="1:44" s="63" customFormat="1" ht="22.5" hidden="1" customHeight="1">
      <c r="L20" s="299"/>
      <c r="M20" s="497"/>
      <c r="N20" s="497"/>
      <c r="O20" s="761" t="s">
        <v>416</v>
      </c>
      <c r="P20" s="497"/>
      <c r="Q20" s="762"/>
      <c r="R20" s="762"/>
      <c r="S20" s="417"/>
      <c r="Z20" s="761"/>
      <c r="AB20" s="761"/>
      <c r="AH20" s="761"/>
      <c r="AJ20" s="761"/>
      <c r="AN20" s="68"/>
      <c r="AO20" s="68"/>
      <c r="AP20" s="68"/>
      <c r="AQ20" s="68"/>
      <c r="AR20" s="68"/>
    </row>
    <row r="21" spans="1:44" s="63" customFormat="1" ht="14.25" hidden="1" customHeight="1">
      <c r="L21" s="299"/>
      <c r="M21" s="497"/>
      <c r="N21" s="497"/>
      <c r="O21" s="497"/>
      <c r="P21" s="497"/>
      <c r="Q21" s="762"/>
      <c r="R21" s="762"/>
      <c r="S21" s="417"/>
      <c r="AN21" s="68"/>
      <c r="AO21" s="68"/>
      <c r="AP21" s="68"/>
      <c r="AQ21" s="68"/>
      <c r="AR21" s="68"/>
    </row>
    <row r="22" spans="1:44" s="63" customFormat="1" ht="14.25" hidden="1" customHeight="1">
      <c r="L22" s="299"/>
      <c r="M22" s="497"/>
      <c r="N22" s="497"/>
      <c r="O22" s="760" t="s">
        <v>417</v>
      </c>
      <c r="P22" s="497"/>
      <c r="Q22" s="762"/>
      <c r="R22" s="762"/>
      <c r="S22" s="417"/>
      <c r="T22" s="63" t="s">
        <v>418</v>
      </c>
      <c r="AA22" s="81" t="s">
        <v>419</v>
      </c>
      <c r="AC22" s="81" t="s">
        <v>420</v>
      </c>
      <c r="AD22" s="63" t="s">
        <v>418</v>
      </c>
      <c r="AI22" s="81" t="s">
        <v>421</v>
      </c>
      <c r="AK22" s="81" t="s">
        <v>420</v>
      </c>
      <c r="AN22" s="68"/>
      <c r="AO22" s="68"/>
      <c r="AP22" s="68"/>
      <c r="AQ22" s="68"/>
      <c r="AR22" s="68"/>
    </row>
    <row r="23" spans="1:44" ht="14.25" hidden="1" customHeight="1">
      <c r="O23" s="760"/>
    </row>
    <row r="24" spans="1:44" ht="14.25" hidden="1" customHeight="1">
      <c r="O24" s="760"/>
    </row>
    <row r="25" spans="1:44" ht="14.25" customHeight="1">
      <c r="Q25" s="29"/>
      <c r="R25" s="29"/>
      <c r="S25" s="729"/>
      <c r="T25" s="11"/>
      <c r="U25" s="11"/>
    </row>
    <row r="26" spans="1:44" ht="14.25" customHeight="1">
      <c r="Q26" s="29"/>
      <c r="R26" s="29"/>
      <c r="S26" s="1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49"/>
      <c r="U26" s="1249"/>
      <c r="V26" s="1249"/>
      <c r="W26" s="1249"/>
      <c r="X26" s="1249"/>
      <c r="Y26" s="1249"/>
      <c r="Z26" s="1249"/>
      <c r="AA26" s="1249"/>
      <c r="AB26" s="1249"/>
      <c r="AC26" s="1249"/>
      <c r="AD26" s="1249"/>
      <c r="AE26" s="1249"/>
      <c r="AF26" s="1249"/>
      <c r="AG26" s="1249"/>
      <c r="AH26" s="1249"/>
      <c r="AI26" s="1249"/>
      <c r="AJ26" s="1249"/>
      <c r="AK26" s="60"/>
    </row>
    <row r="27" spans="1:44" ht="14.25" customHeight="1">
      <c r="Q27" s="29"/>
      <c r="R27" s="29"/>
      <c r="S27" s="1194" t="str">
        <f>IF(org=0,"Не определено",org)</f>
        <v>АО "ХТК"</v>
      </c>
      <c r="T27" s="1194"/>
      <c r="U27" s="1194"/>
      <c r="V27" s="1194"/>
      <c r="W27" s="1194"/>
      <c r="X27" s="1194"/>
      <c r="Y27" s="1194"/>
      <c r="Z27" s="1194"/>
      <c r="AA27" s="1194"/>
      <c r="AB27" s="1194"/>
      <c r="AC27" s="1194"/>
      <c r="AD27" s="1194"/>
      <c r="AE27" s="1194"/>
      <c r="AF27" s="1194"/>
      <c r="AG27" s="1194"/>
      <c r="AH27" s="1194"/>
      <c r="AI27" s="1194"/>
      <c r="AJ27" s="1194"/>
      <c r="AK27" s="60"/>
    </row>
    <row r="28" spans="1:44" ht="14.25" hidden="1" customHeight="1">
      <c r="Q28" s="29"/>
      <c r="R28" s="29"/>
      <c r="S28" s="729"/>
      <c r="T28" s="11"/>
      <c r="U28" s="11"/>
      <c r="V28" s="187"/>
      <c r="W28" s="187"/>
      <c r="X28" s="187"/>
      <c r="Y28" s="187"/>
      <c r="Z28" s="187"/>
      <c r="AA28" s="187"/>
      <c r="AB28" s="187"/>
      <c r="AC28" s="187"/>
      <c r="AD28" s="187"/>
      <c r="AE28" s="187"/>
      <c r="AF28" s="187"/>
      <c r="AG28" s="187"/>
      <c r="AH28" s="187"/>
      <c r="AI28" s="187"/>
      <c r="AJ28" s="187"/>
      <c r="AK28" s="187"/>
    </row>
    <row r="29" spans="1:44" s="36" customFormat="1" ht="25.5" hidden="1" customHeight="1">
      <c r="A29" s="81"/>
      <c r="B29" s="81"/>
      <c r="C29" s="81"/>
      <c r="D29" s="81"/>
      <c r="E29" s="81"/>
      <c r="F29" s="81"/>
      <c r="G29" s="81"/>
      <c r="H29" s="81"/>
      <c r="I29" s="81"/>
      <c r="J29" s="81"/>
      <c r="K29" s="81"/>
      <c r="L29" s="760"/>
      <c r="M29" s="81"/>
      <c r="N29" s="81"/>
      <c r="O29" s="81"/>
      <c r="S29" s="1257" t="s">
        <v>37</v>
      </c>
      <c r="T29" s="1257"/>
      <c r="U29" s="763"/>
      <c r="V29" s="1258" t="str">
        <f>IF(TITLE_NAME_OR_PR_CHANGE="",IF(TITLE_NAME_OR_PR="","",TITLE_NAME_OR_PR),TITLE_NAME_OR_PR_CHANGE)</f>
        <v/>
      </c>
      <c r="W29" s="1258"/>
      <c r="X29" s="1258"/>
      <c r="Y29" s="1258"/>
      <c r="Z29" s="1258"/>
      <c r="AA29" s="1258"/>
      <c r="AB29" s="1258"/>
      <c r="AC29" s="12"/>
      <c r="AD29" s="1258" t="str">
        <f>IF(TITLE_NAME_OR_PR_CHANGE="",IF(TITLE_NAME_OR_PR="","",TITLE_NAME_OR_PR),TITLE_NAME_OR_PR_CHANGE)</f>
        <v/>
      </c>
      <c r="AE29" s="1258"/>
      <c r="AF29" s="1258"/>
      <c r="AG29" s="1258"/>
      <c r="AH29" s="1258"/>
      <c r="AI29" s="1258"/>
      <c r="AJ29" s="1258"/>
      <c r="AK29" s="12"/>
      <c r="AL29" s="12"/>
      <c r="AM29" s="161"/>
      <c r="AN29" s="69"/>
      <c r="AO29" s="69"/>
      <c r="AP29" s="69"/>
      <c r="AQ29" s="69"/>
      <c r="AR29" s="69"/>
    </row>
    <row r="30" spans="1:44" s="36" customFormat="1" ht="18.75" hidden="1" customHeight="1">
      <c r="A30" s="81"/>
      <c r="B30" s="81"/>
      <c r="C30" s="81"/>
      <c r="D30" s="81"/>
      <c r="E30" s="81"/>
      <c r="F30" s="81"/>
      <c r="G30" s="81"/>
      <c r="H30" s="81"/>
      <c r="I30" s="81"/>
      <c r="J30" s="81"/>
      <c r="K30" s="81"/>
      <c r="L30" s="760"/>
      <c r="M30" s="81"/>
      <c r="N30" s="81"/>
      <c r="O30" s="81"/>
      <c r="S30" s="1257" t="s">
        <v>422</v>
      </c>
      <c r="T30" s="1257"/>
      <c r="U30" s="763"/>
      <c r="V30" s="1267" t="str">
        <f>IF(TITLE_DATE_PR_CHANGE="",IF(TITLE_DATE_PR="","",TITLE_DATE_PR),TITLE_DATE_PR_CHANGE)</f>
        <v/>
      </c>
      <c r="W30" s="1267"/>
      <c r="X30" s="1267"/>
      <c r="Y30" s="1267"/>
      <c r="Z30" s="1267"/>
      <c r="AA30" s="1267"/>
      <c r="AB30" s="1267"/>
      <c r="AC30" s="12"/>
      <c r="AD30" s="1267" t="str">
        <f>IF(TITLE_DATE_PR_CHANGE="",IF(TITLE_DATE_PR="","",TITLE_DATE_PR),TITLE_DATE_PR_CHANGE)</f>
        <v/>
      </c>
      <c r="AE30" s="1267"/>
      <c r="AF30" s="1267"/>
      <c r="AG30" s="1267"/>
      <c r="AH30" s="1267"/>
      <c r="AI30" s="1267"/>
      <c r="AJ30" s="1267"/>
      <c r="AK30" s="12"/>
      <c r="AL30" s="12"/>
      <c r="AM30" s="161"/>
      <c r="AN30" s="69"/>
      <c r="AO30" s="69"/>
      <c r="AP30" s="69"/>
      <c r="AQ30" s="69"/>
      <c r="AR30" s="69"/>
    </row>
    <row r="31" spans="1:44" s="36" customFormat="1" ht="18.75" hidden="1" customHeight="1">
      <c r="A31" s="81"/>
      <c r="B31" s="81"/>
      <c r="C31" s="81"/>
      <c r="D31" s="81"/>
      <c r="E31" s="81"/>
      <c r="F31" s="81"/>
      <c r="G31" s="81"/>
      <c r="H31" s="81"/>
      <c r="I31" s="81"/>
      <c r="J31" s="81"/>
      <c r="K31" s="81"/>
      <c r="L31" s="760"/>
      <c r="M31" s="81"/>
      <c r="N31" s="81"/>
      <c r="O31" s="81"/>
      <c r="S31" s="1257" t="s">
        <v>423</v>
      </c>
      <c r="T31" s="1257"/>
      <c r="U31" s="763"/>
      <c r="V31" s="1258" t="str">
        <f>IF(TITLE_NUMBER_PR_CHANGE="",IF(TITLE_NUMBER_PR="","",TITLE_NUMBER_PR),TITLE_NUMBER_PR_CHANGE)</f>
        <v/>
      </c>
      <c r="W31" s="1258"/>
      <c r="X31" s="1258"/>
      <c r="Y31" s="1258"/>
      <c r="Z31" s="1258"/>
      <c r="AA31" s="1258"/>
      <c r="AB31" s="1258"/>
      <c r="AC31" s="12"/>
      <c r="AD31" s="1258" t="str">
        <f>IF(TITLE_NUMBER_PR_CHANGE="",IF(TITLE_NUMBER_PR="","",TITLE_NUMBER_PR),TITLE_NUMBER_PR_CHANGE)</f>
        <v/>
      </c>
      <c r="AE31" s="1258"/>
      <c r="AF31" s="1258"/>
      <c r="AG31" s="1258"/>
      <c r="AH31" s="1258"/>
      <c r="AI31" s="1258"/>
      <c r="AJ31" s="1258"/>
      <c r="AK31" s="12"/>
      <c r="AL31" s="12"/>
      <c r="AM31" s="161"/>
      <c r="AN31" s="69"/>
      <c r="AO31" s="69"/>
      <c r="AP31" s="69"/>
      <c r="AQ31" s="69"/>
      <c r="AR31" s="69"/>
    </row>
    <row r="32" spans="1:44" s="36" customFormat="1" ht="18.75" hidden="1" customHeight="1">
      <c r="A32" s="81"/>
      <c r="B32" s="81"/>
      <c r="C32" s="81"/>
      <c r="D32" s="81"/>
      <c r="E32" s="81"/>
      <c r="F32" s="81"/>
      <c r="G32" s="81"/>
      <c r="H32" s="81"/>
      <c r="I32" s="81"/>
      <c r="J32" s="81"/>
      <c r="K32" s="81"/>
      <c r="L32" s="760"/>
      <c r="M32" s="81"/>
      <c r="N32" s="81"/>
      <c r="O32" s="81"/>
      <c r="S32" s="1257" t="s">
        <v>38</v>
      </c>
      <c r="T32" s="1257"/>
      <c r="U32" s="763"/>
      <c r="V32" s="1258" t="str">
        <f>IF(TITLE_IST_PUB_CHANGE="",IF(TITLE_IST_PUB="","",TITLE_IST_PUB),TITLE_IST_PUB_CHANGE)</f>
        <v/>
      </c>
      <c r="W32" s="1258"/>
      <c r="X32" s="1258"/>
      <c r="Y32" s="1258"/>
      <c r="Z32" s="1258"/>
      <c r="AA32" s="1258"/>
      <c r="AB32" s="1258"/>
      <c r="AC32" s="12"/>
      <c r="AD32" s="1258" t="str">
        <f>IF(TITLE_IST_PUB_CHANGE="",IF(TITLE_IST_PUB="","",TITLE_IST_PUB),TITLE_IST_PUB_CHANGE)</f>
        <v/>
      </c>
      <c r="AE32" s="1258"/>
      <c r="AF32" s="1258"/>
      <c r="AG32" s="1258"/>
      <c r="AH32" s="1258"/>
      <c r="AI32" s="1258"/>
      <c r="AJ32" s="1258"/>
      <c r="AK32" s="12"/>
      <c r="AL32" s="12"/>
      <c r="AM32" s="161"/>
      <c r="AN32" s="69"/>
      <c r="AO32" s="69"/>
      <c r="AP32" s="69"/>
      <c r="AQ32" s="69"/>
      <c r="AR32" s="69"/>
    </row>
    <row r="33" spans="1:44" ht="14.25" hidden="1" customHeight="1">
      <c r="Q33" s="29"/>
      <c r="R33" s="29"/>
      <c r="S33" s="729"/>
      <c r="T33" s="11"/>
      <c r="U33" s="11"/>
      <c r="V33" s="187"/>
      <c r="W33" s="187"/>
      <c r="X33" s="187"/>
      <c r="Y33" s="187"/>
      <c r="Z33" s="187"/>
      <c r="AA33" s="187"/>
      <c r="AB33" s="187"/>
      <c r="AC33" s="187"/>
      <c r="AD33" s="187"/>
      <c r="AE33" s="187"/>
      <c r="AF33" s="187"/>
      <c r="AG33" s="187"/>
      <c r="AH33" s="187"/>
      <c r="AI33" s="187"/>
      <c r="AJ33" s="187"/>
      <c r="AK33" s="187"/>
    </row>
    <row r="34" spans="1:44" s="36" customFormat="1" ht="18.75" hidden="1" customHeight="1">
      <c r="A34" s="81"/>
      <c r="B34" s="81"/>
      <c r="C34" s="81"/>
      <c r="D34" s="81"/>
      <c r="E34" s="81"/>
      <c r="F34" s="81"/>
      <c r="G34" s="81"/>
      <c r="H34" s="81"/>
      <c r="I34" s="81"/>
      <c r="J34" s="81"/>
      <c r="K34" s="81"/>
      <c r="L34" s="760"/>
      <c r="M34" s="81"/>
      <c r="N34" s="81"/>
      <c r="O34" s="81"/>
      <c r="S34" s="1257" t="s">
        <v>424</v>
      </c>
      <c r="T34" s="1257"/>
      <c r="U34" s="763"/>
      <c r="V34" s="1267" t="str">
        <f>IF(TITLE_DATE_PR_CHANGE="",IF(TITLE_DATE_PR="","",TITLE_DATE_PR),TITLE_DATE_PR_CHANGE)</f>
        <v/>
      </c>
      <c r="W34" s="1267"/>
      <c r="X34" s="1267"/>
      <c r="Y34" s="1267"/>
      <c r="Z34" s="1267"/>
      <c r="AA34" s="1267"/>
      <c r="AB34" s="1267"/>
      <c r="AC34" s="12"/>
      <c r="AD34" s="1267" t="str">
        <f>IF(TITLE_DATE_PR_CHANGE="",IF(TITLE_DATE_PR="","",TITLE_DATE_PR),TITLE_DATE_PR_CHANGE)</f>
        <v/>
      </c>
      <c r="AE34" s="1267"/>
      <c r="AF34" s="1267"/>
      <c r="AG34" s="1267"/>
      <c r="AH34" s="1267"/>
      <c r="AI34" s="1267"/>
      <c r="AJ34" s="1267"/>
      <c r="AK34" s="12"/>
      <c r="AL34" s="12"/>
      <c r="AM34" s="161"/>
      <c r="AN34" s="69"/>
      <c r="AO34" s="69"/>
      <c r="AP34" s="69"/>
      <c r="AQ34" s="69"/>
      <c r="AR34" s="69"/>
    </row>
    <row r="35" spans="1:44" s="36" customFormat="1" ht="18.75" hidden="1" customHeight="1">
      <c r="A35" s="81"/>
      <c r="B35" s="81"/>
      <c r="C35" s="81"/>
      <c r="D35" s="81"/>
      <c r="E35" s="81"/>
      <c r="F35" s="81"/>
      <c r="G35" s="81"/>
      <c r="H35" s="81"/>
      <c r="I35" s="81"/>
      <c r="J35" s="81"/>
      <c r="K35" s="81"/>
      <c r="L35" s="760"/>
      <c r="M35" s="81"/>
      <c r="N35" s="81"/>
      <c r="O35" s="81"/>
      <c r="S35" s="1257" t="s">
        <v>425</v>
      </c>
      <c r="T35" s="1257"/>
      <c r="U35" s="763"/>
      <c r="V35" s="1258" t="str">
        <f>IF(TITLE_NUMBER_PR_CHANGE="",IF(TITLE_NUMBER_PR="","",TITLE_NUMBER_PR),TITLE_NUMBER_PR_CHANGE)</f>
        <v/>
      </c>
      <c r="W35" s="1258"/>
      <c r="X35" s="1258"/>
      <c r="Y35" s="1258"/>
      <c r="Z35" s="1258"/>
      <c r="AA35" s="1258"/>
      <c r="AB35" s="1258"/>
      <c r="AC35" s="12"/>
      <c r="AD35" s="1258" t="str">
        <f>IF(TITLE_NUMBER_PR_CHANGE="",IF(TITLE_NUMBER_PR="","",TITLE_NUMBER_PR),TITLE_NUMBER_PR_CHANGE)</f>
        <v/>
      </c>
      <c r="AE35" s="1258"/>
      <c r="AF35" s="1258"/>
      <c r="AG35" s="1258"/>
      <c r="AH35" s="1258"/>
      <c r="AI35" s="1258"/>
      <c r="AJ35" s="1258"/>
      <c r="AK35" s="12"/>
      <c r="AL35" s="12"/>
      <c r="AM35" s="161"/>
      <c r="AN35" s="69"/>
      <c r="AO35" s="69"/>
      <c r="AP35" s="69"/>
      <c r="AQ35" s="69"/>
      <c r="AR35" s="69"/>
    </row>
    <row r="36" spans="1:44" s="36" customFormat="1" ht="0" hidden="1" customHeight="1">
      <c r="A36" s="81"/>
      <c r="B36" s="81"/>
      <c r="C36" s="81"/>
      <c r="D36" s="81"/>
      <c r="E36" s="81"/>
      <c r="F36" s="81"/>
      <c r="G36" s="81"/>
      <c r="H36" s="81"/>
      <c r="I36" s="81"/>
      <c r="J36" s="81"/>
      <c r="K36" s="81"/>
      <c r="L36" s="760"/>
      <c r="M36" s="81"/>
      <c r="N36" s="81"/>
      <c r="O36" s="81"/>
      <c r="S36" s="12"/>
      <c r="T36" s="12"/>
      <c r="U36" s="77"/>
      <c r="V36" s="12"/>
      <c r="W36" s="12"/>
      <c r="X36" s="12"/>
      <c r="Y36" s="12"/>
      <c r="Z36" s="12"/>
      <c r="AA36" s="12"/>
      <c r="AB36" s="12"/>
      <c r="AC36" s="68" t="s">
        <v>426</v>
      </c>
      <c r="AD36" s="12"/>
      <c r="AE36" s="12"/>
      <c r="AF36" s="12"/>
      <c r="AG36" s="12"/>
      <c r="AH36" s="12"/>
      <c r="AI36" s="12"/>
      <c r="AJ36" s="12"/>
      <c r="AK36" s="68" t="s">
        <v>426</v>
      </c>
      <c r="AN36" s="69"/>
      <c r="AO36" s="69"/>
      <c r="AP36" s="69"/>
      <c r="AQ36" s="69"/>
      <c r="AR36" s="69"/>
    </row>
    <row r="37" spans="1:44" ht="14.25" customHeight="1">
      <c r="Q37" s="29"/>
      <c r="R37" s="29"/>
      <c r="S37" s="729"/>
      <c r="T37" s="11"/>
      <c r="U37" s="709"/>
      <c r="V37" s="1259"/>
      <c r="W37" s="1259"/>
      <c r="X37" s="1259"/>
      <c r="Y37" s="1259"/>
      <c r="Z37" s="1259"/>
      <c r="AA37" s="1259"/>
      <c r="AB37" s="1259"/>
      <c r="AC37" s="1259"/>
      <c r="AD37" s="1259"/>
      <c r="AE37" s="1259"/>
      <c r="AF37" s="1259"/>
      <c r="AG37" s="1259"/>
      <c r="AH37" s="1259"/>
      <c r="AI37" s="1259"/>
      <c r="AJ37" s="1259"/>
      <c r="AK37" s="1259"/>
    </row>
    <row r="38" spans="1:44" ht="14.25" customHeight="1">
      <c r="Q38" s="29"/>
      <c r="R38" s="29"/>
      <c r="S38" s="1146" t="s">
        <v>299</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300</v>
      </c>
    </row>
    <row r="39" spans="1:44" ht="14.25" customHeight="1">
      <c r="Q39" s="29"/>
      <c r="R39" s="29"/>
      <c r="S39" s="1273" t="s">
        <v>84</v>
      </c>
      <c r="T39" s="1224" t="s">
        <v>427</v>
      </c>
      <c r="U39" s="170"/>
      <c r="V39" s="1274" t="s">
        <v>428</v>
      </c>
      <c r="W39" s="1275"/>
      <c r="X39" s="1275"/>
      <c r="Y39" s="1275"/>
      <c r="Z39" s="1275"/>
      <c r="AA39" s="1275"/>
      <c r="AB39" s="1276"/>
      <c r="AC39" s="1277" t="s">
        <v>429</v>
      </c>
      <c r="AD39" s="1274" t="s">
        <v>428</v>
      </c>
      <c r="AE39" s="1275"/>
      <c r="AF39" s="1275"/>
      <c r="AG39" s="1275"/>
      <c r="AH39" s="1275"/>
      <c r="AI39" s="1275"/>
      <c r="AJ39" s="1276"/>
      <c r="AK39" s="1277" t="s">
        <v>430</v>
      </c>
      <c r="AL39" s="1280" t="s">
        <v>431</v>
      </c>
      <c r="AM39" s="1146"/>
    </row>
    <row r="40" spans="1:44" ht="33.75" customHeight="1">
      <c r="Q40" s="29"/>
      <c r="R40" s="29"/>
      <c r="S40" s="1273"/>
      <c r="T40" s="1224"/>
      <c r="U40" s="595"/>
      <c r="V40" s="1193" t="s">
        <v>432</v>
      </c>
      <c r="W40" s="1283" t="s">
        <v>433</v>
      </c>
      <c r="X40" s="1117" t="s">
        <v>434</v>
      </c>
      <c r="Y40" s="1116"/>
      <c r="Z40" s="1117" t="s">
        <v>448</v>
      </c>
      <c r="AA40" s="1122"/>
      <c r="AB40" s="1116"/>
      <c r="AC40" s="1278"/>
      <c r="AD40" s="1193" t="s">
        <v>432</v>
      </c>
      <c r="AE40" s="1283" t="s">
        <v>433</v>
      </c>
      <c r="AF40" s="1117" t="s">
        <v>434</v>
      </c>
      <c r="AG40" s="1116"/>
      <c r="AH40" s="1117" t="s">
        <v>435</v>
      </c>
      <c r="AI40" s="1122"/>
      <c r="AJ40" s="1116"/>
      <c r="AK40" s="1278"/>
      <c r="AL40" s="1281"/>
      <c r="AM40" s="1146"/>
    </row>
    <row r="41" spans="1:44" ht="33.75" customHeight="1">
      <c r="A41" s="81"/>
      <c r="B41" s="81" t="s">
        <v>136</v>
      </c>
      <c r="C41" s="81" t="s">
        <v>137</v>
      </c>
      <c r="D41" s="81" t="s">
        <v>138</v>
      </c>
      <c r="E41" s="760" t="s">
        <v>436</v>
      </c>
      <c r="F41" s="760" t="s">
        <v>437</v>
      </c>
      <c r="G41" s="760" t="s">
        <v>438</v>
      </c>
      <c r="H41" s="760" t="s">
        <v>439</v>
      </c>
      <c r="I41" s="760" t="s">
        <v>440</v>
      </c>
      <c r="J41" s="760" t="s">
        <v>441</v>
      </c>
      <c r="K41" s="760" t="s">
        <v>442</v>
      </c>
      <c r="L41" s="760" t="s">
        <v>417</v>
      </c>
      <c r="Q41" s="29"/>
      <c r="R41" s="29"/>
      <c r="S41" s="1273"/>
      <c r="T41" s="1224"/>
      <c r="U41" s="171"/>
      <c r="V41" s="1244"/>
      <c r="W41" s="1284"/>
      <c r="X41" s="40" t="s">
        <v>443</v>
      </c>
      <c r="Y41" s="40" t="s">
        <v>444</v>
      </c>
      <c r="Z41" s="40" t="s">
        <v>445</v>
      </c>
      <c r="AA41" s="1233" t="s">
        <v>446</v>
      </c>
      <c r="AB41" s="1235"/>
      <c r="AC41" s="1279"/>
      <c r="AD41" s="1244"/>
      <c r="AE41" s="1284"/>
      <c r="AF41" s="40" t="s">
        <v>443</v>
      </c>
      <c r="AG41" s="40" t="s">
        <v>444</v>
      </c>
      <c r="AH41" s="40" t="s">
        <v>445</v>
      </c>
      <c r="AI41" s="1233" t="s">
        <v>446</v>
      </c>
      <c r="AJ41" s="1235"/>
      <c r="AK41" s="1279"/>
      <c r="AL41" s="1282"/>
      <c r="AM41" s="1146"/>
    </row>
    <row r="42" spans="1:44" s="201" customFormat="1" ht="11.25" hidden="1" customHeight="1">
      <c r="A42" s="81"/>
      <c r="B42" s="81"/>
      <c r="C42" s="81"/>
      <c r="D42" s="81"/>
      <c r="E42" s="81"/>
      <c r="F42" s="81"/>
      <c r="G42" s="81"/>
      <c r="H42" s="81"/>
      <c r="I42" s="81"/>
      <c r="J42" s="81"/>
      <c r="K42" s="81"/>
      <c r="L42" s="760"/>
      <c r="M42" s="497"/>
      <c r="N42" s="497"/>
      <c r="O42" s="497"/>
      <c r="P42" s="711"/>
      <c r="Q42" s="712"/>
      <c r="R42" s="714">
        <v>1</v>
      </c>
      <c r="S42" s="731" t="s">
        <v>105</v>
      </c>
      <c r="T42" s="715" t="s">
        <v>106</v>
      </c>
      <c r="U42" s="710" t="str">
        <f ca="1">OFFSET(U42,0,-1)</f>
        <v>2</v>
      </c>
      <c r="V42" s="716">
        <f ca="1">OFFSET(V42,0,-1)+1</f>
        <v>3</v>
      </c>
      <c r="W42" s="716"/>
      <c r="X42" s="716">
        <f ca="1">OFFSET(X42,0,-1)+1</f>
        <v>1</v>
      </c>
      <c r="Y42" s="716">
        <f ca="1">OFFSET(Y42,0,-1)+1</f>
        <v>2</v>
      </c>
      <c r="Z42" s="716">
        <f ca="1">OFFSET(Z42,0,-1)+1</f>
        <v>3</v>
      </c>
      <c r="AA42" s="1272">
        <f ca="1">OFFSET(AA42,0,-1)+1</f>
        <v>4</v>
      </c>
      <c r="AB42" s="1272"/>
      <c r="AC42" s="716">
        <f ca="1">OFFSET(AC42,0,-2)+1</f>
        <v>5</v>
      </c>
      <c r="AD42" s="716">
        <f ca="1">OFFSET(AD42,0,-1)+1</f>
        <v>6</v>
      </c>
      <c r="AE42" s="716"/>
      <c r="AF42" s="716">
        <f ca="1">OFFSET(AF42,0,-1)+1</f>
        <v>1</v>
      </c>
      <c r="AG42" s="716">
        <f ca="1">OFFSET(AG42,0,-1)+1</f>
        <v>2</v>
      </c>
      <c r="AH42" s="716">
        <f ca="1">OFFSET(AH42,0,-1)+1</f>
        <v>3</v>
      </c>
      <c r="AI42" s="1272">
        <f ca="1">OFFSET(AI42,0,-1)+1</f>
        <v>4</v>
      </c>
      <c r="AJ42" s="1272"/>
      <c r="AK42" s="716">
        <f ca="1">OFFSET(AK42,0,-2)+1</f>
        <v>5</v>
      </c>
      <c r="AL42" s="710">
        <f ca="1">OFFSET(AL42,0,-1)</f>
        <v>5</v>
      </c>
      <c r="AM42" s="716">
        <f ca="1">OFFSET(AM42,0,-1)+1</f>
        <v>6</v>
      </c>
      <c r="AN42" s="68"/>
      <c r="AO42" s="68"/>
      <c r="AP42" s="68"/>
      <c r="AQ42" s="68"/>
      <c r="AR42" s="68"/>
    </row>
    <row r="43" spans="1:44" ht="21" customHeight="1">
      <c r="A43" s="759" t="s">
        <v>162</v>
      </c>
      <c r="B43" s="759"/>
      <c r="C43" s="759"/>
      <c r="D43" s="759"/>
      <c r="E43" s="1265">
        <v>1</v>
      </c>
      <c r="F43" s="759"/>
      <c r="G43" s="759"/>
      <c r="H43" s="759"/>
      <c r="I43" s="759"/>
      <c r="J43" s="759"/>
      <c r="K43" s="759"/>
      <c r="L43" s="760"/>
      <c r="M43" s="417"/>
      <c r="N43" s="417"/>
      <c r="O43" s="417"/>
      <c r="Q43" s="35"/>
      <c r="R43" s="205"/>
      <c r="S43" s="698">
        <f>INDEX(PT_DIFFERENTIATION_NUM_NTAR,MATCH(A43,PT_DIFFERENTIATION_NTAR_ID,0))</f>
        <v>0</v>
      </c>
      <c r="T43" s="67" t="s">
        <v>124</v>
      </c>
      <c r="U43" s="169"/>
      <c r="V43" s="1251"/>
      <c r="W43" s="1252"/>
      <c r="X43" s="1252"/>
      <c r="Y43" s="1252"/>
      <c r="Z43" s="1252"/>
      <c r="AA43" s="1252"/>
      <c r="AB43" s="1252"/>
      <c r="AC43" s="1253"/>
      <c r="AD43" s="1251" t="str">
        <f>INDEX(PT_DIFFERENTIATION_NTAR,MATCH(A43,PT_DIFFERENTIATION_NTAR_ID,0))</f>
        <v/>
      </c>
      <c r="AE43" s="1252"/>
      <c r="AF43" s="1252"/>
      <c r="AG43" s="1252"/>
      <c r="AH43" s="1252"/>
      <c r="AI43" s="1252"/>
      <c r="AJ43" s="1252"/>
      <c r="AK43" s="1252"/>
      <c r="AL43" s="1253"/>
      <c r="AM43" s="71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row>
    <row r="44" spans="1:44" ht="21" customHeight="1">
      <c r="A44" s="759" t="s">
        <v>162</v>
      </c>
      <c r="B44" s="759" t="s">
        <v>163</v>
      </c>
      <c r="C44" s="759"/>
      <c r="D44" s="759"/>
      <c r="E44" s="1266"/>
      <c r="F44" s="1265">
        <v>1</v>
      </c>
      <c r="G44" s="759"/>
      <c r="H44" s="759"/>
      <c r="I44" s="759"/>
      <c r="J44" s="759"/>
      <c r="K44" s="759"/>
      <c r="L44" s="760"/>
      <c r="M44" s="417"/>
      <c r="N44" s="417"/>
      <c r="O44" s="417"/>
      <c r="P44" s="59"/>
      <c r="Q44" s="202"/>
      <c r="R44" s="203"/>
      <c r="S44" s="698" t="str">
        <f>INDEX(PT_DIFFERENTIATION_NUM_TER,MATCH(B44,PT_DIFFERENTIATION_TER_ID,0))</f>
        <v>.</v>
      </c>
      <c r="T44" s="175" t="s">
        <v>396</v>
      </c>
      <c r="U44" s="169"/>
      <c r="V44" s="1251"/>
      <c r="W44" s="1252"/>
      <c r="X44" s="1252"/>
      <c r="Y44" s="1252"/>
      <c r="Z44" s="1252"/>
      <c r="AA44" s="1252"/>
      <c r="AB44" s="1252"/>
      <c r="AC44" s="1253"/>
      <c r="AD44" s="1251" t="str">
        <f>INDEX(PT_DIFFERENTIATION_TER,MATCH(B44,PT_DIFFERENTIATION_TER_ID,0))</f>
        <v/>
      </c>
      <c r="AE44" s="1252"/>
      <c r="AF44" s="1252"/>
      <c r="AG44" s="1252"/>
      <c r="AH44" s="1252"/>
      <c r="AI44" s="1252"/>
      <c r="AJ44" s="1252"/>
      <c r="AK44" s="1252"/>
      <c r="AL44" s="1253"/>
      <c r="AM44" s="718" t="s">
        <v>397</v>
      </c>
      <c r="AO44" s="69"/>
      <c r="AP44" s="69" t="str">
        <f t="shared" si="1"/>
        <v>Территория действия тарифа</v>
      </c>
      <c r="AQ44" s="69"/>
      <c r="AR44" s="69"/>
    </row>
    <row r="45" spans="1:44" ht="23.25" customHeight="1">
      <c r="A45" s="759" t="s">
        <v>162</v>
      </c>
      <c r="B45" s="759" t="s">
        <v>163</v>
      </c>
      <c r="C45" s="759" t="s">
        <v>164</v>
      </c>
      <c r="D45" s="759"/>
      <c r="E45" s="1266"/>
      <c r="F45" s="1266"/>
      <c r="G45" s="1265">
        <v>1</v>
      </c>
      <c r="H45" s="759"/>
      <c r="I45" s="759"/>
      <c r="J45" s="759"/>
      <c r="K45" s="759"/>
      <c r="L45" s="760"/>
      <c r="M45" s="417"/>
      <c r="N45" s="417"/>
      <c r="O45" s="417"/>
      <c r="P45" s="204"/>
      <c r="Q45" s="202"/>
      <c r="R45" s="203"/>
      <c r="S45" s="698" t="str">
        <f>INDEX(PT_DIFFERENTIATION_NUM_CS,MATCH(C45,PT_DIFFERENTIATION_CS_ID,0))</f>
        <v>..</v>
      </c>
      <c r="T45" s="176" t="s">
        <v>398</v>
      </c>
      <c r="U45" s="169"/>
      <c r="V45" s="1251"/>
      <c r="W45" s="1252"/>
      <c r="X45" s="1252"/>
      <c r="Y45" s="1252"/>
      <c r="Z45" s="1252"/>
      <c r="AA45" s="1252"/>
      <c r="AB45" s="1252"/>
      <c r="AC45" s="1253"/>
      <c r="AD45" s="1251" t="str">
        <f>INDEX(PT_DIFFERENTIATION_CS,MATCH(C45,PT_DIFFERENTIATION_CS_ID,0))</f>
        <v/>
      </c>
      <c r="AE45" s="1252"/>
      <c r="AF45" s="1252"/>
      <c r="AG45" s="1252"/>
      <c r="AH45" s="1252"/>
      <c r="AI45" s="1252"/>
      <c r="AJ45" s="1252"/>
      <c r="AK45" s="1252"/>
      <c r="AL45" s="1253"/>
      <c r="AM45" s="718" t="s">
        <v>399</v>
      </c>
      <c r="AO45" s="69"/>
      <c r="AP45" s="69" t="str">
        <f t="shared" si="1"/>
        <v xml:space="preserve">Наименование системы теплоснабжения </v>
      </c>
      <c r="AQ45" s="69"/>
      <c r="AR45" s="69"/>
    </row>
    <row r="46" spans="1:44" ht="21" customHeight="1">
      <c r="A46" s="759" t="s">
        <v>162</v>
      </c>
      <c r="B46" s="759" t="s">
        <v>163</v>
      </c>
      <c r="C46" s="759" t="s">
        <v>164</v>
      </c>
      <c r="D46" s="759" t="s">
        <v>165</v>
      </c>
      <c r="E46" s="1266"/>
      <c r="F46" s="1266"/>
      <c r="G46" s="1266"/>
      <c r="H46" s="1265">
        <v>1</v>
      </c>
      <c r="I46" s="759"/>
      <c r="J46" s="759"/>
      <c r="K46" s="759"/>
      <c r="L46" s="760"/>
      <c r="M46" s="417"/>
      <c r="N46" s="417"/>
      <c r="O46" s="417"/>
      <c r="P46" s="204"/>
      <c r="Q46" s="202"/>
      <c r="R46" s="203"/>
      <c r="S46" s="698" t="str">
        <f>INDEX(PT_DIFFERENTIATION_NUM_IST_TE,MATCH(D46,PT_DIFFERENTIATION_IST_TE_ID,0))</f>
        <v>...</v>
      </c>
      <c r="T46" s="177" t="s">
        <v>400</v>
      </c>
      <c r="U46" s="169"/>
      <c r="V46" s="1251"/>
      <c r="W46" s="1252"/>
      <c r="X46" s="1252"/>
      <c r="Y46" s="1252"/>
      <c r="Z46" s="1252"/>
      <c r="AA46" s="1252"/>
      <c r="AB46" s="1252"/>
      <c r="AC46" s="1253"/>
      <c r="AD46" s="1251" t="str">
        <f>INDEX(PT_DIFFERENTIATION_IST_TE,MATCH(D46,PT_DIFFERENTIATION_IST_TE_ID,0))</f>
        <v/>
      </c>
      <c r="AE46" s="1252"/>
      <c r="AF46" s="1252"/>
      <c r="AG46" s="1252"/>
      <c r="AH46" s="1252"/>
      <c r="AI46" s="1252"/>
      <c r="AJ46" s="1252"/>
      <c r="AK46" s="1252"/>
      <c r="AL46" s="1253"/>
      <c r="AM46" s="718" t="s">
        <v>401</v>
      </c>
      <c r="AO46" s="69"/>
      <c r="AP46" s="69" t="str">
        <f t="shared" si="1"/>
        <v xml:space="preserve">Источник тепловой энергии  </v>
      </c>
      <c r="AQ46" s="69"/>
      <c r="AR46" s="69"/>
    </row>
    <row r="47" spans="1:44" ht="47.25" customHeight="1">
      <c r="A47" s="759" t="s">
        <v>162</v>
      </c>
      <c r="B47" s="759" t="s">
        <v>163</v>
      </c>
      <c r="C47" s="759" t="s">
        <v>164</v>
      </c>
      <c r="D47" s="759" t="s">
        <v>165</v>
      </c>
      <c r="E47" s="1266"/>
      <c r="F47" s="1266"/>
      <c r="G47" s="1266"/>
      <c r="H47" s="1266"/>
      <c r="I47" s="1263" t="str">
        <f>S46&amp;".1"</f>
        <v>....1</v>
      </c>
      <c r="J47" s="759"/>
      <c r="K47" s="759"/>
      <c r="L47" s="760" t="s">
        <v>402</v>
      </c>
      <c r="P47" s="1264">
        <v>1</v>
      </c>
      <c r="Q47" s="120"/>
      <c r="R47" s="206"/>
      <c r="S47" s="698" t="str">
        <f>$I47</f>
        <v>....1</v>
      </c>
      <c r="T47" s="162" t="s">
        <v>403</v>
      </c>
      <c r="U47" s="169"/>
      <c r="V47" s="1254"/>
      <c r="W47" s="1255"/>
      <c r="X47" s="1255"/>
      <c r="Y47" s="1255"/>
      <c r="Z47" s="1255"/>
      <c r="AA47" s="1255"/>
      <c r="AB47" s="1255"/>
      <c r="AC47" s="1256"/>
      <c r="AD47" s="1254"/>
      <c r="AE47" s="1255"/>
      <c r="AF47" s="1255"/>
      <c r="AG47" s="1255"/>
      <c r="AH47" s="1255"/>
      <c r="AI47" s="1255"/>
      <c r="AJ47" s="1255"/>
      <c r="AK47" s="1255"/>
      <c r="AL47" s="1256"/>
      <c r="AM47" s="718" t="s">
        <v>404</v>
      </c>
      <c r="AO47" s="69"/>
      <c r="AP47" s="69" t="str">
        <f t="shared" si="1"/>
        <v>Схема подключения теплопотребляющей установки к коллектору источника тепловой энергии</v>
      </c>
      <c r="AQ47" s="69"/>
      <c r="AR47" s="69"/>
    </row>
    <row r="48" spans="1:44" ht="21" customHeight="1">
      <c r="A48" s="759" t="s">
        <v>162</v>
      </c>
      <c r="B48" s="759" t="s">
        <v>163</v>
      </c>
      <c r="C48" s="759" t="s">
        <v>164</v>
      </c>
      <c r="D48" s="759" t="s">
        <v>165</v>
      </c>
      <c r="E48" s="1266"/>
      <c r="F48" s="1266"/>
      <c r="G48" s="1266"/>
      <c r="H48" s="1266"/>
      <c r="I48" s="1286"/>
      <c r="J48" s="1263" t="str">
        <f>I47&amp;".1"</f>
        <v>....1.1</v>
      </c>
      <c r="K48" s="759"/>
      <c r="L48" s="760" t="s">
        <v>405</v>
      </c>
      <c r="P48" s="1264"/>
      <c r="Q48" s="1264">
        <v>1</v>
      </c>
      <c r="R48" s="207"/>
      <c r="S48" s="698" t="str">
        <f>$J48</f>
        <v>....1.1</v>
      </c>
      <c r="T48" s="163" t="s">
        <v>406</v>
      </c>
      <c r="U48" s="169"/>
      <c r="V48" s="1254"/>
      <c r="W48" s="1255"/>
      <c r="X48" s="1255"/>
      <c r="Y48" s="1255"/>
      <c r="Z48" s="1255"/>
      <c r="AA48" s="1255"/>
      <c r="AB48" s="1255"/>
      <c r="AC48" s="1256"/>
      <c r="AD48" s="1254"/>
      <c r="AE48" s="1255"/>
      <c r="AF48" s="1255"/>
      <c r="AG48" s="1255"/>
      <c r="AH48" s="1255"/>
      <c r="AI48" s="1255"/>
      <c r="AJ48" s="1255"/>
      <c r="AK48" s="1255"/>
      <c r="AL48" s="1256"/>
      <c r="AM48" s="718" t="s">
        <v>407</v>
      </c>
      <c r="AO48" s="69"/>
      <c r="AP48" s="69" t="str">
        <f t="shared" si="1"/>
        <v>Группа потребителей</v>
      </c>
      <c r="AQ48" s="69"/>
      <c r="AR48" s="69"/>
    </row>
    <row r="49" spans="1:44" ht="21" customHeight="1">
      <c r="A49" s="759" t="s">
        <v>162</v>
      </c>
      <c r="B49" s="759" t="s">
        <v>163</v>
      </c>
      <c r="C49" s="759" t="s">
        <v>164</v>
      </c>
      <c r="D49" s="759" t="s">
        <v>165</v>
      </c>
      <c r="E49" s="1266"/>
      <c r="F49" s="1266"/>
      <c r="G49" s="1266"/>
      <c r="H49" s="1266"/>
      <c r="I49" s="1286"/>
      <c r="J49" s="1286"/>
      <c r="K49" s="1263" t="str">
        <f>J48&amp;".1"</f>
        <v>....1.1.1</v>
      </c>
      <c r="L49" s="760" t="s">
        <v>408</v>
      </c>
      <c r="P49" s="1264"/>
      <c r="Q49" s="1264"/>
      <c r="R49" s="207">
        <v>1</v>
      </c>
      <c r="S49" s="698" t="str">
        <f>$K49</f>
        <v>....1.1.1</v>
      </c>
      <c r="T49" s="755"/>
      <c r="U49" s="169"/>
      <c r="V49" s="304"/>
      <c r="W49" s="189"/>
      <c r="X49" s="304"/>
      <c r="Y49" s="717"/>
      <c r="Z49" s="1268"/>
      <c r="AA49" s="1127" t="s">
        <v>62</v>
      </c>
      <c r="AB49" s="1268"/>
      <c r="AC49" s="1127" t="s">
        <v>62</v>
      </c>
      <c r="AD49" s="304"/>
      <c r="AE49" s="189"/>
      <c r="AF49" s="304"/>
      <c r="AG49" s="717"/>
      <c r="AH49" s="1268"/>
      <c r="AI49" s="1127" t="s">
        <v>62</v>
      </c>
      <c r="AJ49" s="1287"/>
      <c r="AK49" s="1127" t="s">
        <v>62</v>
      </c>
      <c r="AL49" s="756"/>
      <c r="AM49" s="1260" t="s">
        <v>409</v>
      </c>
      <c r="AN49" s="68" t="e">
        <f ca="1">STRCHECKDATE(V50:AL50)</f>
        <v>#NAME?</v>
      </c>
      <c r="AO49" s="69"/>
      <c r="AP49" s="69" t="str">
        <f t="shared" si="1"/>
        <v/>
      </c>
      <c r="AQ49" s="69"/>
      <c r="AR49" s="69"/>
    </row>
    <row r="50" spans="1:44" ht="0.75" customHeight="1">
      <c r="A50" s="759" t="s">
        <v>162</v>
      </c>
      <c r="B50" s="759" t="s">
        <v>163</v>
      </c>
      <c r="C50" s="759" t="s">
        <v>164</v>
      </c>
      <c r="D50" s="759" t="s">
        <v>165</v>
      </c>
      <c r="E50" s="1266"/>
      <c r="F50" s="1266"/>
      <c r="G50" s="1266"/>
      <c r="H50" s="1266"/>
      <c r="I50" s="1286"/>
      <c r="J50" s="1286"/>
      <c r="K50" s="1263"/>
      <c r="L50" s="760"/>
      <c r="P50" s="1264"/>
      <c r="Q50" s="1264"/>
      <c r="R50" s="207"/>
      <c r="S50" s="65"/>
      <c r="T50" s="169"/>
      <c r="U50" s="169"/>
      <c r="V50" s="189"/>
      <c r="W50" s="189"/>
      <c r="X50" s="189"/>
      <c r="Y50" s="190" t="str">
        <f>Z49&amp;"-"&amp;AB49</f>
        <v>-</v>
      </c>
      <c r="Z50" s="1269"/>
      <c r="AA50" s="1127"/>
      <c r="AB50" s="1269"/>
      <c r="AC50" s="1127"/>
      <c r="AD50" s="189"/>
      <c r="AE50" s="189"/>
      <c r="AF50" s="189"/>
      <c r="AG50" s="190" t="str">
        <f>AH49&amp;"-"&amp;AJ49</f>
        <v>-</v>
      </c>
      <c r="AH50" s="1269"/>
      <c r="AI50" s="1127"/>
      <c r="AJ50" s="1288"/>
      <c r="AK50" s="1127"/>
      <c r="AL50" s="757"/>
      <c r="AM50" s="1261"/>
      <c r="AO50" s="69"/>
      <c r="AP50" s="69" t="str">
        <f t="shared" si="1"/>
        <v/>
      </c>
      <c r="AQ50" s="69"/>
      <c r="AR50" s="69"/>
    </row>
    <row r="51" spans="1:44" ht="11.25" customHeight="1">
      <c r="A51" s="759" t="s">
        <v>162</v>
      </c>
      <c r="B51" s="759" t="s">
        <v>163</v>
      </c>
      <c r="C51" s="759" t="s">
        <v>164</v>
      </c>
      <c r="D51" s="759" t="s">
        <v>165</v>
      </c>
      <c r="E51" s="1266"/>
      <c r="F51" s="1266"/>
      <c r="G51" s="1266"/>
      <c r="H51" s="1266"/>
      <c r="I51" s="1286"/>
      <c r="J51" s="1263"/>
      <c r="K51" s="759"/>
      <c r="L51" s="760"/>
      <c r="P51" s="1264"/>
      <c r="Q51" s="1264"/>
      <c r="R51" s="206"/>
      <c r="S51" s="732"/>
      <c r="T51" s="165" t="s">
        <v>410</v>
      </c>
      <c r="U51" s="211"/>
      <c r="V51" s="211"/>
      <c r="W51" s="211"/>
      <c r="X51" s="211"/>
      <c r="Y51" s="211"/>
      <c r="Z51" s="211"/>
      <c r="AA51" s="211"/>
      <c r="AB51" s="211"/>
      <c r="AC51" s="211"/>
      <c r="AD51" s="211"/>
      <c r="AE51" s="211"/>
      <c r="AF51" s="211"/>
      <c r="AG51" s="211"/>
      <c r="AH51" s="211"/>
      <c r="AI51" s="211"/>
      <c r="AJ51" s="211"/>
      <c r="AK51" s="211"/>
      <c r="AL51" s="188"/>
      <c r="AM51" s="1262"/>
      <c r="AO51" s="69"/>
      <c r="AP51" s="69" t="str">
        <f t="shared" si="1"/>
        <v>Добавить вид теплоносителя (параметры теплоносителя)</v>
      </c>
      <c r="AQ51" s="69"/>
      <c r="AR51" s="69"/>
    </row>
    <row r="52" spans="1:44" ht="11.25" customHeight="1">
      <c r="A52" s="759" t="s">
        <v>162</v>
      </c>
      <c r="B52" s="759" t="s">
        <v>163</v>
      </c>
      <c r="C52" s="759" t="s">
        <v>164</v>
      </c>
      <c r="D52" s="759" t="s">
        <v>165</v>
      </c>
      <c r="E52" s="1266"/>
      <c r="F52" s="1266"/>
      <c r="G52" s="1266"/>
      <c r="H52" s="1266"/>
      <c r="I52" s="1263"/>
      <c r="J52" s="759"/>
      <c r="K52" s="759"/>
      <c r="L52" s="760"/>
      <c r="P52" s="1264"/>
      <c r="Q52" s="120"/>
      <c r="R52" s="206"/>
      <c r="S52" s="732"/>
      <c r="T52" s="164" t="s">
        <v>411</v>
      </c>
      <c r="U52" s="211"/>
      <c r="V52" s="211"/>
      <c r="W52" s="211"/>
      <c r="X52" s="211"/>
      <c r="Y52" s="211"/>
      <c r="Z52" s="211"/>
      <c r="AA52" s="211"/>
      <c r="AB52" s="211"/>
      <c r="AC52" s="210"/>
      <c r="AD52" s="211"/>
      <c r="AE52" s="211"/>
      <c r="AF52" s="211"/>
      <c r="AG52" s="211"/>
      <c r="AH52" s="211"/>
      <c r="AI52" s="211"/>
      <c r="AJ52" s="211"/>
      <c r="AK52" s="210"/>
      <c r="AL52" s="211"/>
      <c r="AM52" s="172"/>
      <c r="AO52" s="69"/>
      <c r="AP52" s="69" t="str">
        <f t="shared" si="1"/>
        <v>Добавить группу потребителей</v>
      </c>
      <c r="AQ52" s="69"/>
      <c r="AR52" s="69"/>
    </row>
    <row r="53" spans="1:44" ht="14.25" customHeight="1">
      <c r="A53" s="759" t="s">
        <v>162</v>
      </c>
      <c r="B53" s="759" t="s">
        <v>163</v>
      </c>
      <c r="C53" s="759" t="s">
        <v>164</v>
      </c>
      <c r="D53" s="759" t="s">
        <v>165</v>
      </c>
      <c r="E53" s="1266"/>
      <c r="F53" s="1266"/>
      <c r="G53" s="1266"/>
      <c r="H53" s="1265"/>
      <c r="I53" s="759"/>
      <c r="J53" s="759"/>
      <c r="K53" s="759"/>
      <c r="L53" s="760"/>
      <c r="M53" s="417"/>
      <c r="N53" s="417"/>
      <c r="O53" s="63"/>
      <c r="P53" s="35"/>
      <c r="Q53" s="214"/>
      <c r="R53" s="205"/>
      <c r="S53" s="732"/>
      <c r="T53" s="209" t="s">
        <v>412</v>
      </c>
      <c r="U53" s="211"/>
      <c r="V53" s="211"/>
      <c r="W53" s="211"/>
      <c r="X53" s="211"/>
      <c r="Y53" s="211"/>
      <c r="Z53" s="211"/>
      <c r="AA53" s="211"/>
      <c r="AB53" s="211"/>
      <c r="AC53" s="210"/>
      <c r="AD53" s="211"/>
      <c r="AE53" s="211"/>
      <c r="AF53" s="211"/>
      <c r="AG53" s="211"/>
      <c r="AH53" s="211"/>
      <c r="AI53" s="211"/>
      <c r="AJ53" s="211"/>
      <c r="AK53" s="210"/>
      <c r="AL53" s="211"/>
      <c r="AM53" s="172"/>
      <c r="AO53" s="69"/>
      <c r="AP53" s="69" t="str">
        <f t="shared" si="1"/>
        <v>Добавить схему подключения</v>
      </c>
      <c r="AQ53" s="69"/>
      <c r="AR53" s="69"/>
    </row>
    <row r="54" spans="1:44" s="68" customFormat="1" ht="0.75" customHeight="1">
      <c r="A54" s="143" t="s">
        <v>162</v>
      </c>
      <c r="B54" s="143" t="s">
        <v>163</v>
      </c>
      <c r="C54" s="143" t="s">
        <v>164</v>
      </c>
      <c r="D54" s="143"/>
      <c r="E54" s="1266"/>
      <c r="F54" s="1266"/>
      <c r="G54" s="1265"/>
      <c r="H54" s="143"/>
      <c r="I54" s="143"/>
      <c r="J54" s="143"/>
      <c r="K54" s="143"/>
      <c r="L54" s="338"/>
      <c r="M54" s="291"/>
      <c r="N54" s="291"/>
      <c r="P54" s="102"/>
      <c r="Q54" s="745"/>
      <c r="R54" s="102"/>
      <c r="S54" s="750"/>
      <c r="T54" s="752" t="s">
        <v>413</v>
      </c>
      <c r="U54" s="311"/>
      <c r="V54" s="311"/>
      <c r="W54" s="311"/>
      <c r="X54" s="311"/>
      <c r="Y54" s="311"/>
      <c r="Z54" s="311"/>
      <c r="AA54" s="311"/>
      <c r="AB54" s="311"/>
      <c r="AC54" s="311"/>
      <c r="AD54" s="311"/>
      <c r="AE54" s="311"/>
      <c r="AF54" s="311"/>
      <c r="AG54" s="311"/>
      <c r="AH54" s="311"/>
      <c r="AI54" s="311"/>
      <c r="AJ54" s="311"/>
      <c r="AK54" s="311"/>
      <c r="AL54" s="311"/>
      <c r="AM54" s="311"/>
      <c r="AO54" s="69"/>
      <c r="AP54" s="69" t="str">
        <f t="shared" si="1"/>
        <v>Добавить источник для дифференциации</v>
      </c>
      <c r="AQ54" s="69"/>
      <c r="AR54" s="69"/>
    </row>
    <row r="55" spans="1:44" s="68" customFormat="1" ht="0.75" customHeight="1">
      <c r="A55" s="143" t="s">
        <v>162</v>
      </c>
      <c r="B55" s="143" t="s">
        <v>163</v>
      </c>
      <c r="C55" s="143"/>
      <c r="D55" s="143"/>
      <c r="E55" s="1266"/>
      <c r="F55" s="1265"/>
      <c r="G55" s="143"/>
      <c r="H55" s="143"/>
      <c r="I55" s="143"/>
      <c r="J55" s="143"/>
      <c r="K55" s="143"/>
      <c r="L55" s="338"/>
      <c r="M55" s="749"/>
      <c r="N55" s="749"/>
      <c r="P55" s="102"/>
      <c r="Q55" s="745"/>
      <c r="R55" s="102"/>
      <c r="S55" s="750"/>
      <c r="T55" s="752" t="s">
        <v>414</v>
      </c>
      <c r="U55" s="311"/>
      <c r="V55" s="311"/>
      <c r="W55" s="311"/>
      <c r="X55" s="311"/>
      <c r="Y55" s="311"/>
      <c r="Z55" s="311"/>
      <c r="AA55" s="311"/>
      <c r="AB55" s="311"/>
      <c r="AC55" s="311"/>
      <c r="AD55" s="311"/>
      <c r="AE55" s="311"/>
      <c r="AF55" s="311"/>
      <c r="AG55" s="311"/>
      <c r="AH55" s="311"/>
      <c r="AI55" s="311"/>
      <c r="AJ55" s="311"/>
      <c r="AK55" s="311"/>
      <c r="AL55" s="311"/>
      <c r="AM55" s="311"/>
      <c r="AO55" s="69"/>
      <c r="AP55" s="69" t="str">
        <f t="shared" si="1"/>
        <v>Добавить централизованную систему для дифференциации</v>
      </c>
      <c r="AQ55" s="69"/>
      <c r="AR55" s="69"/>
    </row>
    <row r="56" spans="1:44" s="68" customFormat="1" ht="0.75" customHeight="1">
      <c r="A56" s="143" t="s">
        <v>162</v>
      </c>
      <c r="B56" s="143"/>
      <c r="C56" s="143"/>
      <c r="D56" s="143"/>
      <c r="E56" s="1265"/>
      <c r="F56" s="143"/>
      <c r="G56" s="143"/>
      <c r="H56" s="143"/>
      <c r="I56" s="143"/>
      <c r="J56" s="143"/>
      <c r="K56" s="143"/>
      <c r="L56" s="338"/>
      <c r="M56" s="749"/>
      <c r="N56" s="749"/>
      <c r="P56" s="102"/>
      <c r="Q56" s="745"/>
      <c r="R56" s="102"/>
      <c r="S56" s="750"/>
      <c r="T56" s="752" t="s">
        <v>415</v>
      </c>
      <c r="U56" s="311"/>
      <c r="V56" s="311"/>
      <c r="W56" s="311"/>
      <c r="X56" s="311"/>
      <c r="Y56" s="311"/>
      <c r="Z56" s="311"/>
      <c r="AA56" s="311"/>
      <c r="AB56" s="311"/>
      <c r="AC56" s="311"/>
      <c r="AD56" s="311"/>
      <c r="AE56" s="311"/>
      <c r="AF56" s="311"/>
      <c r="AG56" s="311"/>
      <c r="AH56" s="311"/>
      <c r="AI56" s="311"/>
      <c r="AJ56" s="311"/>
      <c r="AK56" s="311"/>
      <c r="AL56" s="311"/>
      <c r="AM56" s="311"/>
      <c r="AO56" s="69"/>
      <c r="AP56" s="69" t="str">
        <f t="shared" si="1"/>
        <v>Добавить территорию для дифференциации</v>
      </c>
      <c r="AQ56" s="69"/>
      <c r="AR56" s="69"/>
    </row>
    <row r="57" spans="1:44" s="68" customFormat="1" ht="0.75" customHeight="1">
      <c r="A57" s="143"/>
      <c r="B57" s="143"/>
      <c r="C57" s="143"/>
      <c r="D57" s="143"/>
      <c r="E57" s="143"/>
      <c r="F57" s="143"/>
      <c r="G57" s="143"/>
      <c r="H57" s="143"/>
      <c r="I57" s="143"/>
      <c r="J57" s="143"/>
      <c r="K57" s="143"/>
      <c r="L57" s="338"/>
      <c r="M57" s="749"/>
      <c r="N57" s="749"/>
      <c r="P57" s="102"/>
      <c r="Q57" s="745"/>
      <c r="R57" s="102"/>
      <c r="S57" s="750"/>
      <c r="T57" s="752" t="s">
        <v>447</v>
      </c>
      <c r="U57" s="311"/>
      <c r="V57" s="311"/>
      <c r="W57" s="311"/>
      <c r="X57" s="311"/>
      <c r="Y57" s="311"/>
      <c r="Z57" s="311"/>
      <c r="AA57" s="311"/>
      <c r="AB57" s="311"/>
      <c r="AC57" s="311"/>
      <c r="AD57" s="311"/>
      <c r="AE57" s="311"/>
      <c r="AF57" s="311"/>
      <c r="AG57" s="311"/>
      <c r="AH57" s="311"/>
      <c r="AI57" s="311"/>
      <c r="AJ57" s="311"/>
      <c r="AK57" s="311"/>
      <c r="AL57" s="311"/>
      <c r="AM57" s="311"/>
      <c r="AO57" s="69"/>
      <c r="AP57" s="69" t="str">
        <f t="shared" si="1"/>
        <v>Добавить наименование тарифа</v>
      </c>
      <c r="AQ57" s="69"/>
      <c r="AR57" s="69"/>
    </row>
    <row r="58" spans="1:44" ht="11.25" customHeight="1">
      <c r="M58" s="63"/>
      <c r="N58" s="63"/>
      <c r="O58" s="63"/>
      <c r="P58" s="12"/>
      <c r="Q58" s="12"/>
      <c r="R58" s="12"/>
      <c r="S58" s="12"/>
      <c r="AN58" s="12"/>
      <c r="AO58" s="12"/>
      <c r="AP58" s="12"/>
      <c r="AQ58" s="12"/>
      <c r="AR58" s="12"/>
    </row>
    <row r="59" spans="1:44" ht="27" customHeight="1">
      <c r="O59" s="63"/>
      <c r="S59" s="196"/>
      <c r="T59" s="1285"/>
      <c r="U59" s="1285"/>
      <c r="V59" s="1285"/>
      <c r="W59" s="1285"/>
      <c r="X59" s="1285"/>
      <c r="Y59" s="1285"/>
      <c r="Z59" s="1285"/>
      <c r="AA59" s="1285"/>
      <c r="AB59" s="1285"/>
      <c r="AC59" s="1285"/>
      <c r="AD59" s="1285"/>
      <c r="AE59" s="1285"/>
      <c r="AF59" s="1285"/>
      <c r="AG59" s="1285"/>
      <c r="AH59" s="1285"/>
      <c r="AI59" s="1285"/>
      <c r="AJ59" s="1285"/>
      <c r="AK59" s="1285"/>
      <c r="AL59" s="1285"/>
      <c r="AM59" s="1285"/>
    </row>
    <row r="60" spans="1:44" ht="62.25" customHeight="1">
      <c r="O60" s="63"/>
      <c r="T60" s="1285"/>
      <c r="U60" s="1285"/>
      <c r="V60" s="1285"/>
      <c r="W60" s="1285"/>
      <c r="X60" s="1285"/>
      <c r="Y60" s="1285"/>
      <c r="Z60" s="1285"/>
      <c r="AA60" s="1285"/>
      <c r="AB60" s="1285"/>
      <c r="AC60" s="1285"/>
      <c r="AD60" s="1285"/>
      <c r="AE60" s="1285"/>
      <c r="AF60" s="1285"/>
      <c r="AG60" s="1285"/>
      <c r="AH60" s="1285"/>
      <c r="AI60" s="1285"/>
      <c r="AJ60" s="1285"/>
      <c r="AK60" s="1285"/>
      <c r="AL60" s="1285"/>
      <c r="AM60" s="1285"/>
    </row>
    <row r="61" spans="1:44" ht="14.25" customHeight="1">
      <c r="O61" s="63"/>
    </row>
    <row r="62" spans="1:44" ht="18" customHeight="1">
      <c r="O62" s="63"/>
      <c r="S62" s="196"/>
      <c r="T62" s="1285"/>
      <c r="U62" s="1285"/>
      <c r="V62" s="1285"/>
      <c r="W62" s="1285"/>
      <c r="X62" s="1285"/>
      <c r="Y62" s="1285"/>
      <c r="Z62" s="1285"/>
      <c r="AA62" s="1285"/>
      <c r="AB62" s="1285"/>
      <c r="AC62" s="1285"/>
      <c r="AD62" s="1285"/>
      <c r="AE62" s="1285"/>
      <c r="AF62" s="1285"/>
      <c r="AG62" s="1285"/>
      <c r="AH62" s="1285"/>
      <c r="AI62" s="1285"/>
      <c r="AJ62" s="1285"/>
      <c r="AK62" s="1285"/>
      <c r="AL62" s="1285"/>
      <c r="AM62" s="1285"/>
    </row>
    <row r="63" spans="1:44" ht="18" customHeight="1">
      <c r="O63" s="63"/>
      <c r="T63" s="1285"/>
      <c r="U63" s="1285"/>
      <c r="V63" s="1285"/>
      <c r="W63" s="1285"/>
      <c r="X63" s="1285"/>
      <c r="Y63" s="1285"/>
      <c r="Z63" s="1285"/>
      <c r="AA63" s="1285"/>
      <c r="AB63" s="1285"/>
      <c r="AC63" s="1285"/>
      <c r="AD63" s="1285"/>
      <c r="AE63" s="1285"/>
      <c r="AF63" s="1285"/>
      <c r="AG63" s="1285"/>
      <c r="AH63" s="1285"/>
      <c r="AI63" s="1285"/>
      <c r="AJ63" s="1285"/>
      <c r="AK63" s="1285"/>
      <c r="AL63" s="1285"/>
      <c r="AM63" s="1285"/>
    </row>
    <row r="64" spans="1:44" ht="27.75" customHeight="1">
      <c r="O64" s="63"/>
      <c r="S64" s="196"/>
      <c r="T64" s="1285"/>
      <c r="U64" s="1285"/>
      <c r="V64" s="1285"/>
      <c r="W64" s="1285"/>
      <c r="X64" s="1285"/>
      <c r="Y64" s="1285"/>
      <c r="Z64" s="1285"/>
      <c r="AA64" s="1285"/>
      <c r="AB64" s="1285"/>
      <c r="AC64" s="1285"/>
      <c r="AD64" s="1285"/>
      <c r="AE64" s="1285"/>
      <c r="AF64" s="1285"/>
      <c r="AG64" s="1285"/>
      <c r="AH64" s="1285"/>
      <c r="AI64" s="1285"/>
      <c r="AJ64" s="1285"/>
      <c r="AK64" s="1285"/>
      <c r="AL64" s="1285"/>
      <c r="AM64" s="1285"/>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37ED8-83E8-BAB4-D726-E4F69908EE4D}">
  <sheetPr>
    <tabColor theme="6" tint="0.39997558519241921"/>
  </sheetPr>
  <dimension ref="A1:AR64"/>
  <sheetViews>
    <sheetView showGridLines="0" topLeftCell="P25" workbookViewId="0"/>
  </sheetViews>
  <sheetFormatPr defaultColWidth="10.5703125" defaultRowHeight="14.25" customHeight="1"/>
  <cols>
    <col min="1" max="1" width="10.5703125" style="12" hidden="1"/>
    <col min="2" max="2" width="11" style="12" hidden="1" customWidth="1"/>
    <col min="3" max="3" width="10.5703125" style="12" hidden="1"/>
    <col min="4" max="4" width="11.85546875" style="12" hidden="1" customWidth="1"/>
    <col min="5" max="5" width="10" style="12" hidden="1" customWidth="1"/>
    <col min="6" max="6" width="8.7109375" style="12" hidden="1" customWidth="1"/>
    <col min="7" max="7" width="7.5703125" style="12" hidden="1" customWidth="1"/>
    <col min="8" max="8" width="11.42578125" style="12" hidden="1" customWidth="1"/>
    <col min="9" max="9" width="12" style="12" hidden="1" customWidth="1"/>
    <col min="10" max="10" width="9.85546875" style="12" hidden="1" customWidth="1"/>
    <col min="11" max="11" width="11.42578125" style="12" hidden="1" customWidth="1"/>
    <col min="12" max="12" width="19.140625" style="59" hidden="1" customWidth="1"/>
    <col min="13" max="14" width="12.28515625" style="34" hidden="1" customWidth="1"/>
    <col min="15" max="15" width="23.42578125" style="34" hidden="1" customWidth="1"/>
    <col min="16" max="16" width="3.7109375" style="34" customWidth="1"/>
    <col min="17" max="18" width="3.7109375" style="30" customWidth="1"/>
    <col min="19" max="19" width="12.7109375" style="334" customWidth="1"/>
    <col min="20" max="20" width="32" style="12" customWidth="1"/>
    <col min="21" max="21" width="0.140625" style="12" customWidth="1"/>
    <col min="22" max="22" width="24.7109375" style="12" hidden="1" customWidth="1"/>
    <col min="23" max="23" width="0.140625" style="12" hidden="1" customWidth="1"/>
    <col min="24" max="25" width="24.7109375" style="12" hidden="1" customWidth="1"/>
    <col min="26" max="26" width="11.7109375" style="12" hidden="1" customWidth="1"/>
    <col min="27" max="27" width="3.7109375" style="12" hidden="1" customWidth="1"/>
    <col min="28" max="28" width="11.7109375" style="12" hidden="1" customWidth="1"/>
    <col min="29" max="29" width="8.5703125" style="12" hidden="1" customWidth="1"/>
    <col min="30" max="30" width="24.7109375" style="12" customWidth="1"/>
    <col min="31" max="31" width="0.140625" style="12" customWidth="1"/>
    <col min="32" max="33" width="24.7109375" style="12" customWidth="1"/>
    <col min="34" max="34" width="11.7109375" style="12" customWidth="1"/>
    <col min="35" max="35" width="3.7109375" style="12" customWidth="1"/>
    <col min="36" max="36" width="11.7109375" style="12" customWidth="1"/>
    <col min="37" max="37" width="8.5703125" style="12" hidden="1" customWidth="1"/>
    <col min="38" max="38" width="4.7109375" style="12" customWidth="1"/>
    <col min="39" max="39" width="115.7109375" style="12" customWidth="1"/>
    <col min="40" max="41" width="10.5703125" style="68"/>
    <col min="42" max="42" width="11.140625" style="68" customWidth="1"/>
    <col min="43" max="44" width="10.5703125" style="68"/>
  </cols>
  <sheetData>
    <row r="1" spans="1:44" ht="14.25" hidden="1" customHeight="1"/>
    <row r="2" spans="1:44" ht="21" hidden="1" customHeight="1">
      <c r="A2" s="721"/>
      <c r="B2" s="721"/>
      <c r="C2" s="721"/>
      <c r="D2" s="721"/>
      <c r="E2" s="1289">
        <v>1</v>
      </c>
      <c r="F2" s="721"/>
      <c r="G2" s="721"/>
      <c r="H2" s="721"/>
      <c r="I2" s="721"/>
      <c r="J2" s="721"/>
      <c r="K2" s="721"/>
      <c r="L2" s="744"/>
      <c r="M2" s="334"/>
      <c r="N2" s="334"/>
      <c r="O2" s="334"/>
      <c r="Q2" s="35"/>
      <c r="R2" s="205"/>
      <c r="S2" s="698" t="e">
        <f>INDEX(PT_DIFFERENTIATION_NUM_NTAR,MATCH(A2,PT_DIFFERENTIATION_NTAR_ID,0))</f>
        <v>#N/A</v>
      </c>
      <c r="T2" s="67" t="s">
        <v>124</v>
      </c>
      <c r="U2" s="169"/>
      <c r="V2" s="1251"/>
      <c r="W2" s="1252"/>
      <c r="X2" s="1252"/>
      <c r="Y2" s="1252"/>
      <c r="Z2" s="1252"/>
      <c r="AA2" s="1252"/>
      <c r="AB2" s="1252"/>
      <c r="AC2" s="1253"/>
      <c r="AD2" s="1251" t="e">
        <f>INDEX(PT_DIFFERENTIATION_NTAR,MATCH(A2,PT_DIFFERENTIATION_NTAR_ID,0))</f>
        <v>#N/A</v>
      </c>
      <c r="AE2" s="1252"/>
      <c r="AF2" s="1252"/>
      <c r="AG2" s="1252"/>
      <c r="AH2" s="1252"/>
      <c r="AI2" s="1252"/>
      <c r="AJ2" s="1252"/>
      <c r="AK2" s="1252"/>
      <c r="AL2" s="1253"/>
      <c r="AM2" s="718" t="s">
        <v>395</v>
      </c>
      <c r="AO2" s="69"/>
      <c r="AP2" s="69" t="str">
        <f t="shared" ref="AP2:AP15" si="0">IF(T2="","",T2)</f>
        <v>Наименование тарифа</v>
      </c>
      <c r="AQ2" s="69"/>
      <c r="AR2" s="69"/>
    </row>
    <row r="3" spans="1:44" ht="21" hidden="1" customHeight="1">
      <c r="A3" s="721"/>
      <c r="B3" s="721"/>
      <c r="C3" s="721"/>
      <c r="D3" s="721"/>
      <c r="E3" s="1290"/>
      <c r="F3" s="1289">
        <v>1</v>
      </c>
      <c r="G3" s="721"/>
      <c r="H3" s="721"/>
      <c r="I3" s="721"/>
      <c r="J3" s="721"/>
      <c r="K3" s="721"/>
      <c r="L3" s="744"/>
      <c r="M3" s="334"/>
      <c r="N3" s="334"/>
      <c r="O3" s="334"/>
      <c r="P3" s="59"/>
      <c r="Q3" s="202"/>
      <c r="R3" s="203"/>
      <c r="S3" s="698" t="e">
        <f>INDEX(PT_DIFFERENTIATION_NUM_TER,MATCH(B3,PT_DIFFERENTIATION_TER_ID,0))</f>
        <v>#N/A</v>
      </c>
      <c r="T3" s="175" t="s">
        <v>396</v>
      </c>
      <c r="U3" s="169"/>
      <c r="V3" s="1251"/>
      <c r="W3" s="1252"/>
      <c r="X3" s="1252"/>
      <c r="Y3" s="1252"/>
      <c r="Z3" s="1252"/>
      <c r="AA3" s="1252"/>
      <c r="AB3" s="1252"/>
      <c r="AC3" s="1253"/>
      <c r="AD3" s="1251" t="e">
        <f>INDEX(PT_DIFFERENTIATION_TER,MATCH(B3,PT_DIFFERENTIATION_TER_ID,0))</f>
        <v>#N/A</v>
      </c>
      <c r="AE3" s="1252"/>
      <c r="AF3" s="1252"/>
      <c r="AG3" s="1252"/>
      <c r="AH3" s="1252"/>
      <c r="AI3" s="1252"/>
      <c r="AJ3" s="1252"/>
      <c r="AK3" s="1252"/>
      <c r="AL3" s="1253"/>
      <c r="AM3" s="718" t="s">
        <v>397</v>
      </c>
      <c r="AO3" s="69"/>
      <c r="AP3" s="69" t="str">
        <f t="shared" si="0"/>
        <v>Территория действия тарифа</v>
      </c>
      <c r="AQ3" s="69"/>
      <c r="AR3" s="69"/>
    </row>
    <row r="4" spans="1:44" ht="23.25" hidden="1" customHeight="1">
      <c r="A4" s="721"/>
      <c r="B4" s="721"/>
      <c r="C4" s="721"/>
      <c r="D4" s="721"/>
      <c r="E4" s="1290"/>
      <c r="F4" s="1290"/>
      <c r="G4" s="1289">
        <v>1</v>
      </c>
      <c r="H4" s="721"/>
      <c r="I4" s="721"/>
      <c r="J4" s="721"/>
      <c r="K4" s="721"/>
      <c r="L4" s="744"/>
      <c r="M4" s="334"/>
      <c r="N4" s="334"/>
      <c r="O4" s="334"/>
      <c r="P4" s="204"/>
      <c r="Q4" s="202"/>
      <c r="R4" s="203"/>
      <c r="S4" s="698" t="e">
        <f>INDEX(PT_DIFFERENTIATION_NUM_CS,MATCH(C4,PT_DIFFERENTIATION_CS_ID,0))</f>
        <v>#N/A</v>
      </c>
      <c r="T4" s="176" t="s">
        <v>398</v>
      </c>
      <c r="U4" s="169"/>
      <c r="V4" s="1251"/>
      <c r="W4" s="1252"/>
      <c r="X4" s="1252"/>
      <c r="Y4" s="1252"/>
      <c r="Z4" s="1252"/>
      <c r="AA4" s="1252"/>
      <c r="AB4" s="1252"/>
      <c r="AC4" s="1253"/>
      <c r="AD4" s="1251" t="e">
        <f>INDEX(PT_DIFFERENTIATION_CS,MATCH(C4,PT_DIFFERENTIATION_CS_ID,0))</f>
        <v>#N/A</v>
      </c>
      <c r="AE4" s="1252"/>
      <c r="AF4" s="1252"/>
      <c r="AG4" s="1252"/>
      <c r="AH4" s="1252"/>
      <c r="AI4" s="1252"/>
      <c r="AJ4" s="1252"/>
      <c r="AK4" s="1252"/>
      <c r="AL4" s="1253"/>
      <c r="AM4" s="718" t="s">
        <v>399</v>
      </c>
      <c r="AO4" s="69"/>
      <c r="AP4" s="69" t="str">
        <f t="shared" si="0"/>
        <v xml:space="preserve">Наименование системы теплоснабжения </v>
      </c>
      <c r="AQ4" s="69"/>
      <c r="AR4" s="69"/>
    </row>
    <row r="5" spans="1:44" ht="21" hidden="1" customHeight="1">
      <c r="A5" s="721"/>
      <c r="B5" s="721"/>
      <c r="C5" s="721"/>
      <c r="D5" s="721"/>
      <c r="E5" s="1290"/>
      <c r="F5" s="1290"/>
      <c r="G5" s="1290"/>
      <c r="H5" s="1289">
        <v>1</v>
      </c>
      <c r="I5" s="721"/>
      <c r="J5" s="721"/>
      <c r="K5" s="721"/>
      <c r="L5" s="744"/>
      <c r="M5" s="334"/>
      <c r="N5" s="334"/>
      <c r="O5" s="334"/>
      <c r="P5" s="204"/>
      <c r="Q5" s="202"/>
      <c r="R5" s="203"/>
      <c r="S5" s="698" t="e">
        <f>INDEX(PT_DIFFERENTIATION_NUM_IST_TE,MATCH(D5,PT_DIFFERENTIATION_IST_TE_ID,0))</f>
        <v>#N/A</v>
      </c>
      <c r="T5" s="177" t="s">
        <v>400</v>
      </c>
      <c r="U5" s="169"/>
      <c r="V5" s="1251"/>
      <c r="W5" s="1252"/>
      <c r="X5" s="1252"/>
      <c r="Y5" s="1252"/>
      <c r="Z5" s="1252"/>
      <c r="AA5" s="1252"/>
      <c r="AB5" s="1252"/>
      <c r="AC5" s="1253"/>
      <c r="AD5" s="1251" t="e">
        <f>INDEX(PT_DIFFERENTIATION_IST_TE,MATCH(D5,PT_DIFFERENTIATION_IST_TE_ID,0))</f>
        <v>#N/A</v>
      </c>
      <c r="AE5" s="1252"/>
      <c r="AF5" s="1252"/>
      <c r="AG5" s="1252"/>
      <c r="AH5" s="1252"/>
      <c r="AI5" s="1252"/>
      <c r="AJ5" s="1252"/>
      <c r="AK5" s="1252"/>
      <c r="AL5" s="1253"/>
      <c r="AM5" s="718" t="s">
        <v>401</v>
      </c>
      <c r="AO5" s="69"/>
      <c r="AP5" s="69" t="str">
        <f t="shared" si="0"/>
        <v xml:space="preserve">Источник тепловой энергии  </v>
      </c>
      <c r="AQ5" s="69"/>
      <c r="AR5" s="69"/>
    </row>
    <row r="6" spans="1:44" ht="47.25" hidden="1" customHeight="1">
      <c r="A6" s="721"/>
      <c r="B6" s="721"/>
      <c r="C6" s="721"/>
      <c r="D6" s="721"/>
      <c r="E6" s="1290"/>
      <c r="F6" s="1290"/>
      <c r="G6" s="1290"/>
      <c r="H6" s="1290"/>
      <c r="I6" s="1146" t="e">
        <f>S5&amp;".1"</f>
        <v>#N/A</v>
      </c>
      <c r="J6" s="721"/>
      <c r="K6" s="721"/>
      <c r="L6" s="744" t="s">
        <v>402</v>
      </c>
      <c r="M6" s="12"/>
      <c r="P6" s="1264">
        <v>1</v>
      </c>
      <c r="Q6" s="120"/>
      <c r="R6" s="206"/>
      <c r="S6" s="698" t="e">
        <f>$I6</f>
        <v>#N/A</v>
      </c>
      <c r="T6" s="162" t="s">
        <v>403</v>
      </c>
      <c r="U6" s="169"/>
      <c r="V6" s="1254"/>
      <c r="W6" s="1255"/>
      <c r="X6" s="1255"/>
      <c r="Y6" s="1255"/>
      <c r="Z6" s="1255"/>
      <c r="AA6" s="1255"/>
      <c r="AB6" s="1255"/>
      <c r="AC6" s="1256"/>
      <c r="AD6" s="1254"/>
      <c r="AE6" s="1255"/>
      <c r="AF6" s="1255"/>
      <c r="AG6" s="1255"/>
      <c r="AH6" s="1255"/>
      <c r="AI6" s="1255"/>
      <c r="AJ6" s="1255"/>
      <c r="AK6" s="1255"/>
      <c r="AL6" s="1256"/>
      <c r="AM6" s="718" t="s">
        <v>404</v>
      </c>
      <c r="AO6" s="69"/>
      <c r="AP6" s="69" t="str">
        <f t="shared" si="0"/>
        <v>Схема подключения теплопотребляющей установки к коллектору источника тепловой энергии</v>
      </c>
      <c r="AQ6" s="69"/>
      <c r="AR6" s="69"/>
    </row>
    <row r="7" spans="1:44" ht="21" hidden="1" customHeight="1">
      <c r="A7" s="721"/>
      <c r="B7" s="721"/>
      <c r="C7" s="721"/>
      <c r="D7" s="721"/>
      <c r="E7" s="1290"/>
      <c r="F7" s="1290"/>
      <c r="G7" s="1290"/>
      <c r="H7" s="1290"/>
      <c r="I7" s="1117"/>
      <c r="J7" s="1146" t="e">
        <f>I6&amp;".1"</f>
        <v>#N/A</v>
      </c>
      <c r="K7" s="721"/>
      <c r="L7" s="744" t="s">
        <v>405</v>
      </c>
      <c r="M7" s="12"/>
      <c r="N7" s="12"/>
      <c r="P7" s="1264"/>
      <c r="Q7" s="1264">
        <v>1</v>
      </c>
      <c r="R7" s="207"/>
      <c r="S7" s="698" t="e">
        <f>$J7</f>
        <v>#N/A</v>
      </c>
      <c r="T7" s="163" t="s">
        <v>406</v>
      </c>
      <c r="U7" s="169"/>
      <c r="V7" s="1254"/>
      <c r="W7" s="1255"/>
      <c r="X7" s="1255"/>
      <c r="Y7" s="1255"/>
      <c r="Z7" s="1255"/>
      <c r="AA7" s="1255"/>
      <c r="AB7" s="1255"/>
      <c r="AC7" s="1256"/>
      <c r="AD7" s="1254"/>
      <c r="AE7" s="1255"/>
      <c r="AF7" s="1255"/>
      <c r="AG7" s="1255"/>
      <c r="AH7" s="1255"/>
      <c r="AI7" s="1255"/>
      <c r="AJ7" s="1255"/>
      <c r="AK7" s="1255"/>
      <c r="AL7" s="1256"/>
      <c r="AM7" s="718" t="s">
        <v>407</v>
      </c>
      <c r="AO7" s="69"/>
      <c r="AP7" s="69" t="str">
        <f t="shared" si="0"/>
        <v>Группа потребителей</v>
      </c>
      <c r="AQ7" s="69"/>
      <c r="AR7" s="69"/>
    </row>
    <row r="8" spans="1:44" ht="21" hidden="1" customHeight="1">
      <c r="A8" s="721"/>
      <c r="B8" s="721"/>
      <c r="C8" s="721"/>
      <c r="D8" s="721"/>
      <c r="E8" s="1290"/>
      <c r="F8" s="1290"/>
      <c r="G8" s="1290"/>
      <c r="H8" s="1290"/>
      <c r="I8" s="1117"/>
      <c r="J8" s="1117"/>
      <c r="K8" s="1146" t="e">
        <f>J7&amp;".1"</f>
        <v>#N/A</v>
      </c>
      <c r="L8" s="744" t="s">
        <v>408</v>
      </c>
      <c r="M8" s="12"/>
      <c r="N8" s="12"/>
      <c r="O8" s="12"/>
      <c r="P8" s="1264"/>
      <c r="Q8" s="1264"/>
      <c r="R8" s="207">
        <v>1</v>
      </c>
      <c r="S8" s="698" t="e">
        <f>$K8</f>
        <v>#N/A</v>
      </c>
      <c r="T8" s="755"/>
      <c r="U8" s="169"/>
      <c r="V8" s="304"/>
      <c r="W8" s="189"/>
      <c r="X8" s="304"/>
      <c r="Y8" s="717"/>
      <c r="Z8" s="1268"/>
      <c r="AA8" s="1127" t="s">
        <v>62</v>
      </c>
      <c r="AB8" s="1268"/>
      <c r="AC8" s="1127" t="s">
        <v>62</v>
      </c>
      <c r="AD8" s="304"/>
      <c r="AE8" s="189"/>
      <c r="AF8" s="304"/>
      <c r="AG8" s="717"/>
      <c r="AH8" s="1268"/>
      <c r="AI8" s="1127" t="s">
        <v>62</v>
      </c>
      <c r="AJ8" s="1268"/>
      <c r="AK8" s="1127" t="s">
        <v>62</v>
      </c>
      <c r="AL8" s="189"/>
      <c r="AM8" s="1260" t="s">
        <v>409</v>
      </c>
      <c r="AN8" s="68" t="e">
        <f ca="1">STRCHECKDATE(V9:AL9)</f>
        <v>#NAME?</v>
      </c>
      <c r="AO8" s="69"/>
      <c r="AP8" s="69" t="str">
        <f t="shared" si="0"/>
        <v/>
      </c>
      <c r="AQ8" s="69"/>
      <c r="AR8" s="69"/>
    </row>
    <row r="9" spans="1:44" ht="0.75" hidden="1" customHeight="1">
      <c r="A9" s="721"/>
      <c r="B9" s="721"/>
      <c r="C9" s="721"/>
      <c r="D9" s="721"/>
      <c r="E9" s="1290"/>
      <c r="F9" s="1290"/>
      <c r="G9" s="1290"/>
      <c r="H9" s="1290"/>
      <c r="I9" s="1117"/>
      <c r="J9" s="1117"/>
      <c r="K9" s="1146"/>
      <c r="L9" s="744"/>
      <c r="M9" s="12"/>
      <c r="N9" s="12"/>
      <c r="O9" s="12"/>
      <c r="P9" s="1264"/>
      <c r="Q9" s="1264"/>
      <c r="R9" s="207"/>
      <c r="S9" s="65"/>
      <c r="T9" s="169"/>
      <c r="U9" s="169"/>
      <c r="V9" s="189"/>
      <c r="W9" s="189"/>
      <c r="X9" s="189"/>
      <c r="Y9" s="190" t="str">
        <f>Z8&amp;"-"&amp;AB8</f>
        <v>-</v>
      </c>
      <c r="Z9" s="1269"/>
      <c r="AA9" s="1127"/>
      <c r="AB9" s="1269"/>
      <c r="AC9" s="1127"/>
      <c r="AD9" s="189"/>
      <c r="AE9" s="189"/>
      <c r="AF9" s="189"/>
      <c r="AG9" s="190" t="str">
        <f>AH8&amp;"-"&amp;AJ8</f>
        <v>-</v>
      </c>
      <c r="AH9" s="1269"/>
      <c r="AI9" s="1127"/>
      <c r="AJ9" s="1269"/>
      <c r="AK9" s="1127"/>
      <c r="AL9" s="189"/>
      <c r="AM9" s="1261"/>
      <c r="AO9" s="69"/>
      <c r="AP9" s="69" t="str">
        <f t="shared" si="0"/>
        <v/>
      </c>
      <c r="AQ9" s="69"/>
      <c r="AR9" s="69"/>
    </row>
    <row r="10" spans="1:44" ht="15" hidden="1" customHeight="1">
      <c r="A10" s="721"/>
      <c r="B10" s="721"/>
      <c r="C10" s="721"/>
      <c r="D10" s="721"/>
      <c r="E10" s="1290"/>
      <c r="F10" s="1290"/>
      <c r="G10" s="1290"/>
      <c r="H10" s="1290"/>
      <c r="I10" s="1117"/>
      <c r="J10" s="1146"/>
      <c r="K10" s="721"/>
      <c r="L10" s="744"/>
      <c r="M10" s="12"/>
      <c r="N10" s="12"/>
      <c r="P10" s="1264"/>
      <c r="Q10" s="1264"/>
      <c r="R10" s="206"/>
      <c r="S10" s="732"/>
      <c r="T10" s="165" t="s">
        <v>410</v>
      </c>
      <c r="U10" s="211"/>
      <c r="V10" s="211"/>
      <c r="W10" s="211"/>
      <c r="X10" s="211"/>
      <c r="Y10" s="211"/>
      <c r="Z10" s="211"/>
      <c r="AA10" s="211"/>
      <c r="AB10" s="211"/>
      <c r="AC10" s="211"/>
      <c r="AD10" s="211"/>
      <c r="AE10" s="211"/>
      <c r="AF10" s="211"/>
      <c r="AG10" s="211"/>
      <c r="AH10" s="211"/>
      <c r="AI10" s="211"/>
      <c r="AJ10" s="211"/>
      <c r="AK10" s="211"/>
      <c r="AL10" s="188"/>
      <c r="AM10" s="1262"/>
      <c r="AO10" s="69"/>
      <c r="AP10" s="69" t="str">
        <f t="shared" si="0"/>
        <v>Добавить вид теплоносителя (параметры теплоносителя)</v>
      </c>
      <c r="AQ10" s="69"/>
      <c r="AR10" s="69"/>
    </row>
    <row r="11" spans="1:44" ht="15" hidden="1" customHeight="1">
      <c r="A11" s="721"/>
      <c r="B11" s="721"/>
      <c r="C11" s="721"/>
      <c r="D11" s="721"/>
      <c r="E11" s="1290"/>
      <c r="F11" s="1290"/>
      <c r="G11" s="1290"/>
      <c r="H11" s="1290"/>
      <c r="I11" s="1146"/>
      <c r="J11" s="721"/>
      <c r="K11" s="721"/>
      <c r="L11" s="744"/>
      <c r="M11" s="12"/>
      <c r="P11" s="1264"/>
      <c r="Q11" s="120"/>
      <c r="R11" s="206"/>
      <c r="S11" s="732"/>
      <c r="T11" s="164" t="s">
        <v>411</v>
      </c>
      <c r="U11" s="211"/>
      <c r="V11" s="211"/>
      <c r="W11" s="211"/>
      <c r="X11" s="211"/>
      <c r="Y11" s="211"/>
      <c r="Z11" s="211"/>
      <c r="AA11" s="211"/>
      <c r="AB11" s="211"/>
      <c r="AC11" s="210"/>
      <c r="AD11" s="211"/>
      <c r="AE11" s="211"/>
      <c r="AF11" s="211"/>
      <c r="AG11" s="211"/>
      <c r="AH11" s="211"/>
      <c r="AI11" s="211"/>
      <c r="AJ11" s="211"/>
      <c r="AK11" s="210"/>
      <c r="AL11" s="211"/>
      <c r="AM11" s="172"/>
      <c r="AO11" s="69"/>
      <c r="AP11" s="69" t="str">
        <f t="shared" si="0"/>
        <v>Добавить группу потребителей</v>
      </c>
      <c r="AQ11" s="69"/>
      <c r="AR11" s="69"/>
    </row>
    <row r="12" spans="1:44" ht="14.25" hidden="1" customHeight="1">
      <c r="A12" s="721"/>
      <c r="B12" s="721"/>
      <c r="C12" s="721"/>
      <c r="D12" s="721"/>
      <c r="E12" s="1290"/>
      <c r="F12" s="1290"/>
      <c r="G12" s="1290"/>
      <c r="H12" s="1289"/>
      <c r="I12" s="721"/>
      <c r="J12" s="721"/>
      <c r="K12" s="721"/>
      <c r="L12" s="744"/>
      <c r="M12" s="334"/>
      <c r="N12" s="334"/>
      <c r="O12" s="12"/>
      <c r="P12" s="35"/>
      <c r="Q12" s="214"/>
      <c r="R12" s="205"/>
      <c r="S12" s="732"/>
      <c r="T12" s="209" t="s">
        <v>412</v>
      </c>
      <c r="U12" s="211"/>
      <c r="V12" s="211"/>
      <c r="W12" s="211"/>
      <c r="X12" s="211"/>
      <c r="Y12" s="211"/>
      <c r="Z12" s="211"/>
      <c r="AA12" s="211"/>
      <c r="AB12" s="211"/>
      <c r="AC12" s="210"/>
      <c r="AD12" s="211"/>
      <c r="AE12" s="211"/>
      <c r="AF12" s="211"/>
      <c r="AG12" s="211"/>
      <c r="AH12" s="211"/>
      <c r="AI12" s="211"/>
      <c r="AJ12" s="211"/>
      <c r="AK12" s="210"/>
      <c r="AL12" s="211"/>
      <c r="AM12" s="172"/>
      <c r="AO12" s="69"/>
      <c r="AP12" s="69" t="str">
        <f t="shared" si="0"/>
        <v>Добавить схему подключения</v>
      </c>
      <c r="AQ12" s="69"/>
      <c r="AR12" s="69"/>
    </row>
    <row r="13" spans="1:44" s="68" customFormat="1" ht="0.75" hidden="1" customHeight="1">
      <c r="A13" s="764"/>
      <c r="B13" s="764"/>
      <c r="C13" s="764"/>
      <c r="D13" s="764"/>
      <c r="E13" s="1290"/>
      <c r="F13" s="1290"/>
      <c r="G13" s="1289"/>
      <c r="H13" s="764"/>
      <c r="I13" s="764"/>
      <c r="J13" s="764"/>
      <c r="K13" s="764"/>
      <c r="L13" s="765"/>
      <c r="M13" s="766"/>
      <c r="N13" s="766"/>
      <c r="O13" s="201"/>
      <c r="P13" s="102"/>
      <c r="Q13" s="745"/>
      <c r="R13" s="102"/>
      <c r="S13" s="746"/>
      <c r="T13" s="747" t="s">
        <v>413</v>
      </c>
      <c r="U13" s="748"/>
      <c r="V13" s="748"/>
      <c r="W13" s="748"/>
      <c r="X13" s="748"/>
      <c r="Y13" s="748"/>
      <c r="Z13" s="748"/>
      <c r="AA13" s="748"/>
      <c r="AB13" s="748"/>
      <c r="AC13" s="748"/>
      <c r="AD13" s="748"/>
      <c r="AE13" s="748"/>
      <c r="AF13" s="748"/>
      <c r="AG13" s="748"/>
      <c r="AH13" s="748"/>
      <c r="AI13" s="748"/>
      <c r="AJ13" s="748"/>
      <c r="AK13" s="748"/>
      <c r="AL13" s="748"/>
      <c r="AM13" s="748"/>
      <c r="AO13" s="69"/>
      <c r="AP13" s="69" t="str">
        <f t="shared" si="0"/>
        <v>Добавить источник для дифференциации</v>
      </c>
      <c r="AQ13" s="69"/>
      <c r="AR13" s="69"/>
    </row>
    <row r="14" spans="1:44" s="68" customFormat="1" ht="0.75" hidden="1" customHeight="1">
      <c r="A14" s="764"/>
      <c r="B14" s="764"/>
      <c r="C14" s="764"/>
      <c r="D14" s="764"/>
      <c r="E14" s="1290"/>
      <c r="F14" s="1289"/>
      <c r="G14" s="764"/>
      <c r="H14" s="764"/>
      <c r="I14" s="764"/>
      <c r="J14" s="764"/>
      <c r="K14" s="764"/>
      <c r="L14" s="765"/>
      <c r="M14" s="767"/>
      <c r="N14" s="767"/>
      <c r="O14" s="201"/>
      <c r="P14" s="102"/>
      <c r="Q14" s="745"/>
      <c r="R14" s="102"/>
      <c r="S14" s="750"/>
      <c r="T14" s="751" t="s">
        <v>414</v>
      </c>
      <c r="U14" s="311"/>
      <c r="V14" s="311"/>
      <c r="W14" s="311"/>
      <c r="X14" s="311"/>
      <c r="Y14" s="311"/>
      <c r="Z14" s="311"/>
      <c r="AA14" s="311"/>
      <c r="AB14" s="311"/>
      <c r="AC14" s="311"/>
      <c r="AD14" s="311"/>
      <c r="AE14" s="311"/>
      <c r="AF14" s="311"/>
      <c r="AG14" s="311"/>
      <c r="AH14" s="311"/>
      <c r="AI14" s="311"/>
      <c r="AJ14" s="311"/>
      <c r="AK14" s="311"/>
      <c r="AL14" s="311"/>
      <c r="AM14" s="311"/>
      <c r="AO14" s="69"/>
      <c r="AP14" s="69" t="str">
        <f t="shared" si="0"/>
        <v>Добавить централизованную систему для дифференциации</v>
      </c>
      <c r="AQ14" s="69"/>
      <c r="AR14" s="69"/>
    </row>
    <row r="15" spans="1:44" s="68" customFormat="1" ht="0.75" hidden="1" customHeight="1">
      <c r="A15" s="764"/>
      <c r="B15" s="764"/>
      <c r="C15" s="764"/>
      <c r="D15" s="764"/>
      <c r="E15" s="1289"/>
      <c r="F15" s="764"/>
      <c r="G15" s="764"/>
      <c r="H15" s="764"/>
      <c r="I15" s="764"/>
      <c r="J15" s="764"/>
      <c r="K15" s="764"/>
      <c r="L15" s="765"/>
      <c r="M15" s="767"/>
      <c r="N15" s="767"/>
      <c r="O15" s="201"/>
      <c r="P15" s="102"/>
      <c r="Q15" s="745"/>
      <c r="R15" s="102"/>
      <c r="S15" s="750"/>
      <c r="T15" s="752" t="s">
        <v>415</v>
      </c>
      <c r="U15" s="311"/>
      <c r="V15" s="311"/>
      <c r="W15" s="311"/>
      <c r="X15" s="311"/>
      <c r="Y15" s="311"/>
      <c r="Z15" s="311"/>
      <c r="AA15" s="311"/>
      <c r="AB15" s="311"/>
      <c r="AC15" s="311"/>
      <c r="AD15" s="311"/>
      <c r="AE15" s="311"/>
      <c r="AF15" s="311"/>
      <c r="AG15" s="311"/>
      <c r="AH15" s="311"/>
      <c r="AI15" s="311"/>
      <c r="AJ15" s="311"/>
      <c r="AK15" s="311"/>
      <c r="AL15" s="311"/>
      <c r="AM15" s="311"/>
      <c r="AO15" s="69"/>
      <c r="AP15" s="69" t="str">
        <f t="shared" si="0"/>
        <v>Добавить территорию для дифференциации</v>
      </c>
      <c r="AQ15" s="69"/>
      <c r="AR15" s="69"/>
    </row>
    <row r="16" spans="1:44" ht="14.25" hidden="1" customHeight="1"/>
    <row r="17" spans="1:44" ht="14.25" hidden="1" customHeight="1">
      <c r="AD17" s="359"/>
      <c r="AE17" s="359"/>
      <c r="AF17" s="359"/>
      <c r="AG17" s="758"/>
      <c r="AH17" s="1270"/>
      <c r="AI17" s="1271" t="s">
        <v>62</v>
      </c>
      <c r="AJ17" s="1270"/>
      <c r="AK17" s="1271" t="s">
        <v>62</v>
      </c>
    </row>
    <row r="18" spans="1:44" ht="14.25" hidden="1" customHeight="1">
      <c r="AD18" s="359"/>
      <c r="AE18" s="359"/>
      <c r="AF18" s="359"/>
      <c r="AG18" s="190" t="str">
        <f>AH17&amp;"-"&amp;AJ17</f>
        <v>-</v>
      </c>
      <c r="AH18" s="1271"/>
      <c r="AI18" s="1271"/>
      <c r="AJ18" s="1271"/>
      <c r="AK18" s="1271"/>
    </row>
    <row r="19" spans="1:44" ht="14.25" hidden="1" customHeight="1"/>
    <row r="20" spans="1:44" s="63" customFormat="1" ht="14.25" hidden="1" customHeight="1">
      <c r="A20" s="12"/>
      <c r="B20" s="12"/>
      <c r="C20" s="12"/>
      <c r="D20" s="12"/>
      <c r="E20" s="12"/>
      <c r="F20" s="12"/>
      <c r="G20" s="12"/>
      <c r="H20" s="12"/>
      <c r="I20" s="12"/>
      <c r="J20" s="12"/>
      <c r="K20" s="12"/>
      <c r="L20" s="59"/>
      <c r="M20" s="34"/>
      <c r="N20" s="34"/>
      <c r="O20" s="754" t="s">
        <v>416</v>
      </c>
      <c r="P20" s="497"/>
      <c r="Q20" s="762"/>
      <c r="R20" s="762"/>
      <c r="S20" s="417"/>
      <c r="Z20" s="761"/>
      <c r="AB20" s="761"/>
      <c r="AH20" s="761"/>
      <c r="AJ20" s="761"/>
      <c r="AN20" s="68"/>
      <c r="AO20" s="68"/>
      <c r="AP20" s="68"/>
      <c r="AQ20" s="68"/>
      <c r="AR20" s="68"/>
    </row>
    <row r="21" spans="1:44" s="63" customFormat="1" ht="14.25" hidden="1" customHeight="1">
      <c r="A21" s="12"/>
      <c r="B21" s="12"/>
      <c r="C21" s="12"/>
      <c r="D21" s="12"/>
      <c r="E21" s="12"/>
      <c r="F21" s="12"/>
      <c r="G21" s="12"/>
      <c r="H21" s="12"/>
      <c r="I21" s="12"/>
      <c r="J21" s="12"/>
      <c r="K21" s="12"/>
      <c r="L21" s="59"/>
      <c r="M21" s="34"/>
      <c r="N21" s="34"/>
      <c r="O21" s="34"/>
      <c r="P21" s="497"/>
      <c r="Q21" s="762"/>
      <c r="R21" s="762"/>
      <c r="S21" s="417"/>
      <c r="AN21" s="68"/>
      <c r="AO21" s="68"/>
      <c r="AP21" s="68"/>
      <c r="AQ21" s="68"/>
      <c r="AR21" s="68"/>
    </row>
    <row r="22" spans="1:44" s="63" customFormat="1" ht="14.25" hidden="1" customHeight="1">
      <c r="A22" s="12"/>
      <c r="B22" s="12"/>
      <c r="C22" s="12"/>
      <c r="D22" s="12"/>
      <c r="E22" s="12"/>
      <c r="F22" s="12"/>
      <c r="G22" s="12"/>
      <c r="H22" s="12"/>
      <c r="I22" s="12"/>
      <c r="J22" s="12"/>
      <c r="K22" s="12"/>
      <c r="L22" s="59"/>
      <c r="M22" s="34"/>
      <c r="N22" s="34"/>
      <c r="O22" s="744" t="s">
        <v>417</v>
      </c>
      <c r="P22" s="497"/>
      <c r="Q22" s="762"/>
      <c r="R22" s="762"/>
      <c r="S22" s="417"/>
      <c r="T22" s="63" t="s">
        <v>418</v>
      </c>
      <c r="AA22" s="81" t="s">
        <v>419</v>
      </c>
      <c r="AC22" s="81" t="s">
        <v>420</v>
      </c>
      <c r="AD22" s="63" t="s">
        <v>418</v>
      </c>
      <c r="AI22" s="81" t="s">
        <v>421</v>
      </c>
      <c r="AK22" s="81" t="s">
        <v>420</v>
      </c>
      <c r="AN22" s="68"/>
      <c r="AO22" s="68"/>
      <c r="AP22" s="68"/>
      <c r="AQ22" s="68"/>
      <c r="AR22" s="68"/>
    </row>
    <row r="23" spans="1:44" ht="14.25" hidden="1" customHeight="1">
      <c r="O23" s="744"/>
    </row>
    <row r="24" spans="1:44" ht="14.25" hidden="1" customHeight="1">
      <c r="O24" s="744"/>
    </row>
    <row r="25" spans="1:44" ht="14.25" customHeight="1">
      <c r="Q25" s="29"/>
      <c r="R25" s="29"/>
      <c r="S25" s="729"/>
      <c r="T25" s="11"/>
      <c r="U25" s="11"/>
    </row>
    <row r="26" spans="1:44" ht="14.25" customHeight="1">
      <c r="Q26" s="29"/>
      <c r="R26" s="29"/>
      <c r="S26" s="1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49"/>
      <c r="U26" s="1249"/>
      <c r="V26" s="1249"/>
      <c r="W26" s="1249"/>
      <c r="X26" s="1249"/>
      <c r="Y26" s="1249"/>
      <c r="Z26" s="1249"/>
      <c r="AA26" s="1249"/>
      <c r="AB26" s="1249"/>
      <c r="AC26" s="1249"/>
      <c r="AD26" s="1249"/>
      <c r="AE26" s="1249"/>
      <c r="AF26" s="1249"/>
      <c r="AG26" s="1249"/>
      <c r="AH26" s="1249"/>
      <c r="AI26" s="1249"/>
      <c r="AJ26" s="1249"/>
      <c r="AK26" s="60"/>
    </row>
    <row r="27" spans="1:44" ht="14.25" customHeight="1">
      <c r="Q27" s="29"/>
      <c r="R27" s="29"/>
      <c r="S27" s="1194" t="str">
        <f>IF(org=0,"Не определено",org)</f>
        <v>АО "ХТК"</v>
      </c>
      <c r="T27" s="1194"/>
      <c r="U27" s="1194"/>
      <c r="V27" s="1194"/>
      <c r="W27" s="1194"/>
      <c r="X27" s="1194"/>
      <c r="Y27" s="1194"/>
      <c r="Z27" s="1194"/>
      <c r="AA27" s="1194"/>
      <c r="AB27" s="1194"/>
      <c r="AC27" s="1194"/>
      <c r="AD27" s="1194"/>
      <c r="AE27" s="1194"/>
      <c r="AF27" s="1194"/>
      <c r="AG27" s="1194"/>
      <c r="AH27" s="1194"/>
      <c r="AI27" s="1194"/>
      <c r="AJ27" s="1194"/>
      <c r="AK27" s="60"/>
    </row>
    <row r="28" spans="1:44" ht="14.25" hidden="1" customHeight="1">
      <c r="Q28" s="29"/>
      <c r="R28" s="29"/>
      <c r="S28" s="729"/>
      <c r="T28" s="11"/>
      <c r="U28" s="11"/>
      <c r="V28" s="187"/>
      <c r="W28" s="187"/>
      <c r="X28" s="187"/>
      <c r="Y28" s="187"/>
      <c r="Z28" s="187"/>
      <c r="AA28" s="187"/>
      <c r="AB28" s="187"/>
      <c r="AC28" s="187"/>
      <c r="AD28" s="187"/>
      <c r="AE28" s="187"/>
      <c r="AF28" s="187"/>
      <c r="AG28" s="187"/>
      <c r="AH28" s="187"/>
      <c r="AI28" s="187"/>
      <c r="AJ28" s="187"/>
      <c r="AK28" s="187"/>
    </row>
    <row r="29" spans="1:44" s="36" customFormat="1" ht="25.5" hidden="1" customHeight="1">
      <c r="A29" s="18"/>
      <c r="B29" s="18"/>
      <c r="C29" s="18"/>
      <c r="D29" s="18"/>
      <c r="E29" s="18"/>
      <c r="F29" s="18"/>
      <c r="G29" s="18"/>
      <c r="H29" s="18"/>
      <c r="I29" s="18"/>
      <c r="J29" s="18"/>
      <c r="K29" s="18"/>
      <c r="L29" s="744"/>
      <c r="M29" s="18"/>
      <c r="N29" s="18"/>
      <c r="O29" s="18"/>
      <c r="S29" s="1257" t="s">
        <v>37</v>
      </c>
      <c r="T29" s="1257"/>
      <c r="U29" s="763"/>
      <c r="V29" s="1258" t="str">
        <f>IF(TITLE_NAME_OR_PR_CHANGE="",IF(TITLE_NAME_OR_PR="","",TITLE_NAME_OR_PR),TITLE_NAME_OR_PR_CHANGE)</f>
        <v/>
      </c>
      <c r="W29" s="1258"/>
      <c r="X29" s="1258"/>
      <c r="Y29" s="1258"/>
      <c r="Z29" s="1258"/>
      <c r="AA29" s="1258"/>
      <c r="AB29" s="1258"/>
      <c r="AC29" s="12"/>
      <c r="AD29" s="1258" t="str">
        <f>IF(TITLE_NAME_OR_PR_CHANGE="",IF(TITLE_NAME_OR_PR="","",TITLE_NAME_OR_PR),TITLE_NAME_OR_PR_CHANGE)</f>
        <v/>
      </c>
      <c r="AE29" s="1258"/>
      <c r="AF29" s="1258"/>
      <c r="AG29" s="1258"/>
      <c r="AH29" s="1258"/>
      <c r="AI29" s="1258"/>
      <c r="AJ29" s="1258"/>
      <c r="AK29" s="12"/>
      <c r="AL29" s="12"/>
      <c r="AM29" s="161"/>
      <c r="AN29" s="69"/>
      <c r="AO29" s="69"/>
      <c r="AP29" s="69"/>
      <c r="AQ29" s="69"/>
      <c r="AR29" s="69"/>
    </row>
    <row r="30" spans="1:44" s="36" customFormat="1" ht="18.75" hidden="1" customHeight="1">
      <c r="A30" s="18"/>
      <c r="B30" s="18"/>
      <c r="C30" s="18"/>
      <c r="D30" s="18"/>
      <c r="E30" s="18"/>
      <c r="F30" s="18"/>
      <c r="G30" s="18"/>
      <c r="H30" s="18"/>
      <c r="I30" s="18"/>
      <c r="J30" s="18"/>
      <c r="K30" s="18"/>
      <c r="L30" s="744"/>
      <c r="M30" s="18"/>
      <c r="N30" s="18"/>
      <c r="O30" s="18"/>
      <c r="S30" s="1257" t="s">
        <v>422</v>
      </c>
      <c r="T30" s="1257"/>
      <c r="U30" s="763"/>
      <c r="V30" s="1267" t="str">
        <f>IF(TITLE_DATE_PR_CHANGE="",IF(TITLE_DATE_PR="","",TITLE_DATE_PR),TITLE_DATE_PR_CHANGE)</f>
        <v/>
      </c>
      <c r="W30" s="1267"/>
      <c r="X30" s="1267"/>
      <c r="Y30" s="1267"/>
      <c r="Z30" s="1267"/>
      <c r="AA30" s="1267"/>
      <c r="AB30" s="1267"/>
      <c r="AC30" s="12"/>
      <c r="AD30" s="1267" t="str">
        <f>IF(TITLE_DATE_PR_CHANGE="",IF(TITLE_DATE_PR="","",TITLE_DATE_PR),TITLE_DATE_PR_CHANGE)</f>
        <v/>
      </c>
      <c r="AE30" s="1267"/>
      <c r="AF30" s="1267"/>
      <c r="AG30" s="1267"/>
      <c r="AH30" s="1267"/>
      <c r="AI30" s="1267"/>
      <c r="AJ30" s="1267"/>
      <c r="AK30" s="12"/>
      <c r="AL30" s="12"/>
      <c r="AM30" s="161"/>
      <c r="AN30" s="69"/>
      <c r="AO30" s="69"/>
      <c r="AP30" s="69"/>
      <c r="AQ30" s="69"/>
      <c r="AR30" s="69"/>
    </row>
    <row r="31" spans="1:44" s="36" customFormat="1" ht="18.75" hidden="1" customHeight="1">
      <c r="A31" s="18"/>
      <c r="B31" s="18"/>
      <c r="C31" s="18"/>
      <c r="D31" s="18"/>
      <c r="E31" s="18"/>
      <c r="F31" s="18"/>
      <c r="G31" s="18"/>
      <c r="H31" s="18"/>
      <c r="I31" s="18"/>
      <c r="J31" s="18"/>
      <c r="K31" s="18"/>
      <c r="L31" s="744"/>
      <c r="M31" s="18"/>
      <c r="N31" s="18"/>
      <c r="O31" s="18"/>
      <c r="S31" s="1257" t="s">
        <v>423</v>
      </c>
      <c r="T31" s="1257"/>
      <c r="U31" s="763"/>
      <c r="V31" s="1258" t="str">
        <f>IF(TITLE_NUMBER_PR_CHANGE="",IF(TITLE_NUMBER_PR="","",TITLE_NUMBER_PR),TITLE_NUMBER_PR_CHANGE)</f>
        <v/>
      </c>
      <c r="W31" s="1258"/>
      <c r="X31" s="1258"/>
      <c r="Y31" s="1258"/>
      <c r="Z31" s="1258"/>
      <c r="AA31" s="1258"/>
      <c r="AB31" s="1258"/>
      <c r="AC31" s="12"/>
      <c r="AD31" s="1258" t="str">
        <f>IF(TITLE_NUMBER_PR_CHANGE="",IF(TITLE_NUMBER_PR="","",TITLE_NUMBER_PR),TITLE_NUMBER_PR_CHANGE)</f>
        <v/>
      </c>
      <c r="AE31" s="1258"/>
      <c r="AF31" s="1258"/>
      <c r="AG31" s="1258"/>
      <c r="AH31" s="1258"/>
      <c r="AI31" s="1258"/>
      <c r="AJ31" s="1258"/>
      <c r="AK31" s="12"/>
      <c r="AL31" s="12"/>
      <c r="AM31" s="161"/>
      <c r="AN31" s="69"/>
      <c r="AO31" s="69"/>
      <c r="AP31" s="69"/>
      <c r="AQ31" s="69"/>
      <c r="AR31" s="69"/>
    </row>
    <row r="32" spans="1:44" s="36" customFormat="1" ht="18.75" hidden="1" customHeight="1">
      <c r="A32" s="18"/>
      <c r="B32" s="18"/>
      <c r="C32" s="18"/>
      <c r="D32" s="18"/>
      <c r="E32" s="18"/>
      <c r="F32" s="18"/>
      <c r="G32" s="18"/>
      <c r="H32" s="18"/>
      <c r="I32" s="18"/>
      <c r="J32" s="18"/>
      <c r="K32" s="18"/>
      <c r="L32" s="744"/>
      <c r="M32" s="18"/>
      <c r="N32" s="18"/>
      <c r="O32" s="18"/>
      <c r="S32" s="1257" t="s">
        <v>38</v>
      </c>
      <c r="T32" s="1257"/>
      <c r="U32" s="763"/>
      <c r="V32" s="1258" t="str">
        <f>IF(TITLE_IST_PUB_CHANGE="",IF(TITLE_IST_PUB="","",TITLE_IST_PUB),TITLE_IST_PUB_CHANGE)</f>
        <v/>
      </c>
      <c r="W32" s="1258"/>
      <c r="X32" s="1258"/>
      <c r="Y32" s="1258"/>
      <c r="Z32" s="1258"/>
      <c r="AA32" s="1258"/>
      <c r="AB32" s="1258"/>
      <c r="AC32" s="12"/>
      <c r="AD32" s="1258" t="str">
        <f>IF(TITLE_IST_PUB_CHANGE="",IF(TITLE_IST_PUB="","",TITLE_IST_PUB),TITLE_IST_PUB_CHANGE)</f>
        <v/>
      </c>
      <c r="AE32" s="1258"/>
      <c r="AF32" s="1258"/>
      <c r="AG32" s="1258"/>
      <c r="AH32" s="1258"/>
      <c r="AI32" s="1258"/>
      <c r="AJ32" s="1258"/>
      <c r="AK32" s="12"/>
      <c r="AL32" s="12"/>
      <c r="AM32" s="161"/>
      <c r="AN32" s="69"/>
      <c r="AO32" s="69"/>
      <c r="AP32" s="69"/>
      <c r="AQ32" s="69"/>
      <c r="AR32" s="69"/>
    </row>
    <row r="33" spans="1:44" ht="14.25" hidden="1" customHeight="1">
      <c r="Q33" s="29"/>
      <c r="R33" s="29"/>
      <c r="S33" s="729"/>
      <c r="T33" s="11"/>
      <c r="U33" s="11"/>
      <c r="V33" s="187"/>
      <c r="W33" s="187"/>
      <c r="X33" s="187"/>
      <c r="Y33" s="187"/>
      <c r="Z33" s="187"/>
      <c r="AA33" s="187"/>
      <c r="AB33" s="187"/>
      <c r="AC33" s="187"/>
      <c r="AD33" s="187"/>
      <c r="AE33" s="187"/>
      <c r="AF33" s="187"/>
      <c r="AG33" s="187"/>
      <c r="AH33" s="187"/>
      <c r="AI33" s="187"/>
      <c r="AJ33" s="187"/>
      <c r="AK33" s="187"/>
    </row>
    <row r="34" spans="1:44" s="36" customFormat="1" ht="18.75" hidden="1" customHeight="1">
      <c r="A34" s="18"/>
      <c r="B34" s="18"/>
      <c r="C34" s="18"/>
      <c r="D34" s="18"/>
      <c r="E34" s="18"/>
      <c r="F34" s="18"/>
      <c r="G34" s="18"/>
      <c r="H34" s="18"/>
      <c r="I34" s="18"/>
      <c r="J34" s="18"/>
      <c r="K34" s="18"/>
      <c r="L34" s="744"/>
      <c r="M34" s="18"/>
      <c r="N34" s="18"/>
      <c r="O34" s="18"/>
      <c r="S34" s="1257" t="s">
        <v>424</v>
      </c>
      <c r="T34" s="1257"/>
      <c r="U34" s="763"/>
      <c r="V34" s="1267" t="str">
        <f>IF(TITLE_DATE_PR_CHANGE="",IF(TITLE_DATE_PR="","",TITLE_DATE_PR),TITLE_DATE_PR_CHANGE)</f>
        <v/>
      </c>
      <c r="W34" s="1267"/>
      <c r="X34" s="1267"/>
      <c r="Y34" s="1267"/>
      <c r="Z34" s="1267"/>
      <c r="AA34" s="1267"/>
      <c r="AB34" s="1267"/>
      <c r="AC34" s="12"/>
      <c r="AD34" s="1267" t="str">
        <f>IF(TITLE_DATE_PR_CHANGE="",IF(TITLE_DATE_PR="","",TITLE_DATE_PR),TITLE_DATE_PR_CHANGE)</f>
        <v/>
      </c>
      <c r="AE34" s="1267"/>
      <c r="AF34" s="1267"/>
      <c r="AG34" s="1267"/>
      <c r="AH34" s="1267"/>
      <c r="AI34" s="1267"/>
      <c r="AJ34" s="1267"/>
      <c r="AK34" s="12"/>
      <c r="AL34" s="12"/>
      <c r="AM34" s="161"/>
      <c r="AN34" s="69"/>
      <c r="AO34" s="69"/>
      <c r="AP34" s="69"/>
      <c r="AQ34" s="69"/>
      <c r="AR34" s="69"/>
    </row>
    <row r="35" spans="1:44" s="36" customFormat="1" ht="18.75" hidden="1" customHeight="1">
      <c r="A35" s="18"/>
      <c r="B35" s="18"/>
      <c r="C35" s="18"/>
      <c r="D35" s="18"/>
      <c r="E35" s="18"/>
      <c r="F35" s="18"/>
      <c r="G35" s="18"/>
      <c r="H35" s="18"/>
      <c r="I35" s="18"/>
      <c r="J35" s="18"/>
      <c r="K35" s="18"/>
      <c r="L35" s="744"/>
      <c r="M35" s="18"/>
      <c r="N35" s="18"/>
      <c r="O35" s="18"/>
      <c r="S35" s="1257" t="s">
        <v>425</v>
      </c>
      <c r="T35" s="1257"/>
      <c r="U35" s="763"/>
      <c r="V35" s="1258" t="str">
        <f>IF(TITLE_NUMBER_PR_CHANGE="",IF(TITLE_NUMBER_PR="","",TITLE_NUMBER_PR),TITLE_NUMBER_PR_CHANGE)</f>
        <v/>
      </c>
      <c r="W35" s="1258"/>
      <c r="X35" s="1258"/>
      <c r="Y35" s="1258"/>
      <c r="Z35" s="1258"/>
      <c r="AA35" s="1258"/>
      <c r="AB35" s="1258"/>
      <c r="AC35" s="12"/>
      <c r="AD35" s="1258" t="str">
        <f>IF(TITLE_NUMBER_PR_CHANGE="",IF(TITLE_NUMBER_PR="","",TITLE_NUMBER_PR),TITLE_NUMBER_PR_CHANGE)</f>
        <v/>
      </c>
      <c r="AE35" s="1258"/>
      <c r="AF35" s="1258"/>
      <c r="AG35" s="1258"/>
      <c r="AH35" s="1258"/>
      <c r="AI35" s="1258"/>
      <c r="AJ35" s="1258"/>
      <c r="AK35" s="12"/>
      <c r="AL35" s="12"/>
      <c r="AM35" s="161"/>
      <c r="AN35" s="69"/>
      <c r="AO35" s="69"/>
      <c r="AP35" s="69"/>
      <c r="AQ35" s="69"/>
      <c r="AR35" s="69"/>
    </row>
    <row r="36" spans="1:44" s="36" customFormat="1" ht="0" hidden="1" customHeight="1">
      <c r="A36" s="18"/>
      <c r="B36" s="18"/>
      <c r="C36" s="18"/>
      <c r="D36" s="18"/>
      <c r="E36" s="18"/>
      <c r="F36" s="18"/>
      <c r="G36" s="18"/>
      <c r="H36" s="18"/>
      <c r="I36" s="18"/>
      <c r="J36" s="18"/>
      <c r="K36" s="18"/>
      <c r="L36" s="744"/>
      <c r="M36" s="18"/>
      <c r="N36" s="18"/>
      <c r="O36" s="18"/>
      <c r="S36" s="12"/>
      <c r="T36" s="12"/>
      <c r="U36" s="77"/>
      <c r="V36" s="12"/>
      <c r="W36" s="12"/>
      <c r="X36" s="12"/>
      <c r="Y36" s="12"/>
      <c r="Z36" s="12"/>
      <c r="AA36" s="12"/>
      <c r="AB36" s="12"/>
      <c r="AC36" s="68" t="s">
        <v>426</v>
      </c>
      <c r="AD36" s="12"/>
      <c r="AE36" s="12"/>
      <c r="AF36" s="12"/>
      <c r="AG36" s="12"/>
      <c r="AH36" s="12"/>
      <c r="AI36" s="12"/>
      <c r="AJ36" s="12"/>
      <c r="AK36" s="68" t="s">
        <v>426</v>
      </c>
      <c r="AN36" s="69"/>
      <c r="AO36" s="69"/>
      <c r="AP36" s="69"/>
      <c r="AQ36" s="69"/>
      <c r="AR36" s="69"/>
    </row>
    <row r="37" spans="1:44" ht="14.25" customHeight="1">
      <c r="Q37" s="29"/>
      <c r="R37" s="29"/>
      <c r="S37" s="729"/>
      <c r="T37" s="11"/>
      <c r="U37" s="709"/>
      <c r="V37" s="1259"/>
      <c r="W37" s="1259"/>
      <c r="X37" s="1259"/>
      <c r="Y37" s="1259"/>
      <c r="Z37" s="1259"/>
      <c r="AA37" s="1259"/>
      <c r="AB37" s="1259"/>
      <c r="AC37" s="1259"/>
      <c r="AD37" s="1259"/>
      <c r="AE37" s="1259"/>
      <c r="AF37" s="1259"/>
      <c r="AG37" s="1259"/>
      <c r="AH37" s="1259"/>
      <c r="AI37" s="1259"/>
      <c r="AJ37" s="1259"/>
      <c r="AK37" s="1259"/>
    </row>
    <row r="38" spans="1:44" ht="14.25" customHeight="1">
      <c r="Q38" s="29"/>
      <c r="R38" s="29"/>
      <c r="S38" s="1146" t="s">
        <v>299</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300</v>
      </c>
    </row>
    <row r="39" spans="1:44" ht="14.25" customHeight="1">
      <c r="Q39" s="29"/>
      <c r="R39" s="29"/>
      <c r="S39" s="1273" t="s">
        <v>84</v>
      </c>
      <c r="T39" s="1224" t="s">
        <v>427</v>
      </c>
      <c r="U39" s="170"/>
      <c r="V39" s="1274" t="s">
        <v>428</v>
      </c>
      <c r="W39" s="1275"/>
      <c r="X39" s="1275"/>
      <c r="Y39" s="1275"/>
      <c r="Z39" s="1275"/>
      <c r="AA39" s="1275"/>
      <c r="AB39" s="1276"/>
      <c r="AC39" s="1277" t="s">
        <v>429</v>
      </c>
      <c r="AD39" s="1274" t="s">
        <v>428</v>
      </c>
      <c r="AE39" s="1275"/>
      <c r="AF39" s="1275"/>
      <c r="AG39" s="1275"/>
      <c r="AH39" s="1275"/>
      <c r="AI39" s="1275"/>
      <c r="AJ39" s="1276"/>
      <c r="AK39" s="1277" t="s">
        <v>430</v>
      </c>
      <c r="AL39" s="1280" t="s">
        <v>431</v>
      </c>
      <c r="AM39" s="1146"/>
    </row>
    <row r="40" spans="1:44" ht="33.75" customHeight="1">
      <c r="Q40" s="29"/>
      <c r="R40" s="29"/>
      <c r="S40" s="1273"/>
      <c r="T40" s="1224"/>
      <c r="U40" s="595"/>
      <c r="V40" s="1193" t="s">
        <v>432</v>
      </c>
      <c r="W40" s="1283" t="s">
        <v>433</v>
      </c>
      <c r="X40" s="1117" t="s">
        <v>434</v>
      </c>
      <c r="Y40" s="1116"/>
      <c r="Z40" s="1117" t="s">
        <v>448</v>
      </c>
      <c r="AA40" s="1122"/>
      <c r="AB40" s="1116"/>
      <c r="AC40" s="1278"/>
      <c r="AD40" s="1193" t="s">
        <v>432</v>
      </c>
      <c r="AE40" s="1283" t="s">
        <v>433</v>
      </c>
      <c r="AF40" s="1117" t="s">
        <v>434</v>
      </c>
      <c r="AG40" s="1116"/>
      <c r="AH40" s="1117" t="s">
        <v>435</v>
      </c>
      <c r="AI40" s="1122"/>
      <c r="AJ40" s="1116"/>
      <c r="AK40" s="1278"/>
      <c r="AL40" s="1281"/>
      <c r="AM40" s="1146"/>
    </row>
    <row r="41" spans="1:44" ht="33.75" customHeight="1">
      <c r="A41" s="18"/>
      <c r="B41" s="18" t="s">
        <v>136</v>
      </c>
      <c r="C41" s="18" t="s">
        <v>137</v>
      </c>
      <c r="D41" s="18" t="s">
        <v>138</v>
      </c>
      <c r="E41" s="744" t="s">
        <v>436</v>
      </c>
      <c r="F41" s="744" t="s">
        <v>437</v>
      </c>
      <c r="G41" s="744" t="s">
        <v>438</v>
      </c>
      <c r="H41" s="744" t="s">
        <v>439</v>
      </c>
      <c r="I41" s="744" t="s">
        <v>440</v>
      </c>
      <c r="J41" s="744" t="s">
        <v>441</v>
      </c>
      <c r="K41" s="744" t="s">
        <v>442</v>
      </c>
      <c r="L41" s="744" t="s">
        <v>417</v>
      </c>
      <c r="Q41" s="29"/>
      <c r="R41" s="29"/>
      <c r="S41" s="1273"/>
      <c r="T41" s="1224"/>
      <c r="U41" s="171"/>
      <c r="V41" s="1244"/>
      <c r="W41" s="1284"/>
      <c r="X41" s="40" t="s">
        <v>443</v>
      </c>
      <c r="Y41" s="40" t="s">
        <v>444</v>
      </c>
      <c r="Z41" s="40" t="s">
        <v>445</v>
      </c>
      <c r="AA41" s="1233" t="s">
        <v>446</v>
      </c>
      <c r="AB41" s="1235"/>
      <c r="AC41" s="1279"/>
      <c r="AD41" s="1244"/>
      <c r="AE41" s="1284"/>
      <c r="AF41" s="40" t="s">
        <v>443</v>
      </c>
      <c r="AG41" s="40" t="s">
        <v>444</v>
      </c>
      <c r="AH41" s="40" t="s">
        <v>445</v>
      </c>
      <c r="AI41" s="1233" t="s">
        <v>446</v>
      </c>
      <c r="AJ41" s="1235"/>
      <c r="AK41" s="1279"/>
      <c r="AL41" s="1282"/>
      <c r="AM41" s="1146"/>
    </row>
    <row r="42" spans="1:44" s="201" customFormat="1" ht="11.25" hidden="1" customHeight="1">
      <c r="A42" s="18"/>
      <c r="B42" s="18"/>
      <c r="C42" s="18"/>
      <c r="D42" s="18"/>
      <c r="E42" s="18"/>
      <c r="F42" s="18"/>
      <c r="G42" s="18"/>
      <c r="H42" s="18"/>
      <c r="I42" s="18"/>
      <c r="J42" s="18"/>
      <c r="K42" s="18"/>
      <c r="L42" s="744"/>
      <c r="M42" s="34"/>
      <c r="N42" s="34"/>
      <c r="O42" s="34"/>
      <c r="P42" s="711"/>
      <c r="Q42" s="712"/>
      <c r="R42" s="714">
        <v>1</v>
      </c>
      <c r="S42" s="731" t="s">
        <v>105</v>
      </c>
      <c r="T42" s="715" t="s">
        <v>106</v>
      </c>
      <c r="U42" s="710" t="str">
        <f ca="1">OFFSET(U42,0,-1)</f>
        <v>2</v>
      </c>
      <c r="V42" s="716">
        <f ca="1">OFFSET(V42,0,-1)+1</f>
        <v>3</v>
      </c>
      <c r="W42" s="716"/>
      <c r="X42" s="716">
        <f ca="1">OFFSET(X42,0,-1)+1</f>
        <v>1</v>
      </c>
      <c r="Y42" s="716">
        <f ca="1">OFFSET(Y42,0,-1)+1</f>
        <v>2</v>
      </c>
      <c r="Z42" s="716">
        <f ca="1">OFFSET(Z42,0,-1)+1</f>
        <v>3</v>
      </c>
      <c r="AA42" s="1272">
        <f ca="1">OFFSET(AA42,0,-1)+1</f>
        <v>4</v>
      </c>
      <c r="AB42" s="1272"/>
      <c r="AC42" s="716">
        <f ca="1">OFFSET(AC42,0,-2)+1</f>
        <v>5</v>
      </c>
      <c r="AD42" s="716">
        <f ca="1">OFFSET(AD42,0,-1)+1</f>
        <v>6</v>
      </c>
      <c r="AE42" s="716"/>
      <c r="AF42" s="716">
        <f ca="1">OFFSET(AF42,0,-1)+1</f>
        <v>1</v>
      </c>
      <c r="AG42" s="716">
        <f ca="1">OFFSET(AG42,0,-1)+1</f>
        <v>2</v>
      </c>
      <c r="AH42" s="716">
        <f ca="1">OFFSET(AH42,0,-1)+1</f>
        <v>3</v>
      </c>
      <c r="AI42" s="1272">
        <f ca="1">OFFSET(AI42,0,-1)+1</f>
        <v>4</v>
      </c>
      <c r="AJ42" s="1272"/>
      <c r="AK42" s="716">
        <f ca="1">OFFSET(AK42,0,-2)+1</f>
        <v>5</v>
      </c>
      <c r="AL42" s="710">
        <f ca="1">OFFSET(AL42,0,-1)</f>
        <v>5</v>
      </c>
      <c r="AM42" s="716">
        <f ca="1">OFFSET(AM42,0,-1)+1</f>
        <v>6</v>
      </c>
      <c r="AN42" s="68"/>
      <c r="AO42" s="68"/>
      <c r="AP42" s="68"/>
      <c r="AQ42" s="68"/>
      <c r="AR42" s="68"/>
    </row>
    <row r="43" spans="1:44" ht="21" customHeight="1">
      <c r="A43" s="721" t="s">
        <v>211</v>
      </c>
      <c r="B43" s="721"/>
      <c r="C43" s="721"/>
      <c r="D43" s="721"/>
      <c r="E43" s="1289">
        <v>1</v>
      </c>
      <c r="F43" s="721"/>
      <c r="G43" s="721"/>
      <c r="H43" s="721"/>
      <c r="I43" s="721"/>
      <c r="J43" s="721"/>
      <c r="K43" s="721"/>
      <c r="L43" s="744"/>
      <c r="M43" s="334"/>
      <c r="N43" s="334"/>
      <c r="O43" s="334"/>
      <c r="Q43" s="35"/>
      <c r="R43" s="205"/>
      <c r="S43" s="698">
        <f>INDEX(PT_DIFFERENTIATION_NUM_NTAR,MATCH(A43,PT_DIFFERENTIATION_NTAR_ID,0))</f>
        <v>0</v>
      </c>
      <c r="T43" s="67" t="s">
        <v>124</v>
      </c>
      <c r="U43" s="169"/>
      <c r="V43" s="1251"/>
      <c r="W43" s="1252"/>
      <c r="X43" s="1252"/>
      <c r="Y43" s="1252"/>
      <c r="Z43" s="1252"/>
      <c r="AA43" s="1252"/>
      <c r="AB43" s="1252"/>
      <c r="AC43" s="1253"/>
      <c r="AD43" s="1251" t="str">
        <f>INDEX(PT_DIFFERENTIATION_NTAR,MATCH(A43,PT_DIFFERENTIATION_NTAR_ID,0))</f>
        <v/>
      </c>
      <c r="AE43" s="1252"/>
      <c r="AF43" s="1252"/>
      <c r="AG43" s="1252"/>
      <c r="AH43" s="1252"/>
      <c r="AI43" s="1252"/>
      <c r="AJ43" s="1252"/>
      <c r="AK43" s="1252"/>
      <c r="AL43" s="1253"/>
      <c r="AM43" s="71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row>
    <row r="44" spans="1:44" ht="21" customHeight="1">
      <c r="A44" s="721" t="s">
        <v>211</v>
      </c>
      <c r="B44" s="721" t="s">
        <v>212</v>
      </c>
      <c r="C44" s="721"/>
      <c r="D44" s="721"/>
      <c r="E44" s="1290"/>
      <c r="F44" s="1289">
        <v>1</v>
      </c>
      <c r="G44" s="721"/>
      <c r="H44" s="721"/>
      <c r="I44" s="721"/>
      <c r="J44" s="721"/>
      <c r="K44" s="721"/>
      <c r="L44" s="744"/>
      <c r="M44" s="334"/>
      <c r="N44" s="334"/>
      <c r="O44" s="334"/>
      <c r="P44" s="59"/>
      <c r="Q44" s="202"/>
      <c r="R44" s="203"/>
      <c r="S44" s="698" t="str">
        <f>INDEX(PT_DIFFERENTIATION_NUM_TER,MATCH(B44,PT_DIFFERENTIATION_TER_ID,0))</f>
        <v>.</v>
      </c>
      <c r="T44" s="175" t="s">
        <v>396</v>
      </c>
      <c r="U44" s="169"/>
      <c r="V44" s="1251"/>
      <c r="W44" s="1252"/>
      <c r="X44" s="1252"/>
      <c r="Y44" s="1252"/>
      <c r="Z44" s="1252"/>
      <c r="AA44" s="1252"/>
      <c r="AB44" s="1252"/>
      <c r="AC44" s="1253"/>
      <c r="AD44" s="1251" t="str">
        <f>INDEX(PT_DIFFERENTIATION_TER,MATCH(B44,PT_DIFFERENTIATION_TER_ID,0))</f>
        <v/>
      </c>
      <c r="AE44" s="1252"/>
      <c r="AF44" s="1252"/>
      <c r="AG44" s="1252"/>
      <c r="AH44" s="1252"/>
      <c r="AI44" s="1252"/>
      <c r="AJ44" s="1252"/>
      <c r="AK44" s="1252"/>
      <c r="AL44" s="1253"/>
      <c r="AM44" s="718" t="s">
        <v>397</v>
      </c>
      <c r="AO44" s="69"/>
      <c r="AP44" s="69" t="str">
        <f t="shared" si="1"/>
        <v>Территория действия тарифа</v>
      </c>
      <c r="AQ44" s="69"/>
      <c r="AR44" s="69"/>
    </row>
    <row r="45" spans="1:44" ht="23.25" customHeight="1">
      <c r="A45" s="721" t="s">
        <v>211</v>
      </c>
      <c r="B45" s="721" t="s">
        <v>212</v>
      </c>
      <c r="C45" s="721" t="s">
        <v>213</v>
      </c>
      <c r="D45" s="721"/>
      <c r="E45" s="1290"/>
      <c r="F45" s="1290"/>
      <c r="G45" s="1289">
        <v>1</v>
      </c>
      <c r="H45" s="721"/>
      <c r="I45" s="721"/>
      <c r="J45" s="721"/>
      <c r="K45" s="721"/>
      <c r="L45" s="744"/>
      <c r="M45" s="334"/>
      <c r="N45" s="334"/>
      <c r="O45" s="334"/>
      <c r="P45" s="204"/>
      <c r="Q45" s="202"/>
      <c r="R45" s="203"/>
      <c r="S45" s="698" t="str">
        <f>INDEX(PT_DIFFERENTIATION_NUM_CS,MATCH(C45,PT_DIFFERENTIATION_CS_ID,0))</f>
        <v>..</v>
      </c>
      <c r="T45" s="176" t="s">
        <v>398</v>
      </c>
      <c r="U45" s="169"/>
      <c r="V45" s="1251"/>
      <c r="W45" s="1252"/>
      <c r="X45" s="1252"/>
      <c r="Y45" s="1252"/>
      <c r="Z45" s="1252"/>
      <c r="AA45" s="1252"/>
      <c r="AB45" s="1252"/>
      <c r="AC45" s="1253"/>
      <c r="AD45" s="1251" t="str">
        <f>INDEX(PT_DIFFERENTIATION_CS,MATCH(C45,PT_DIFFERENTIATION_CS_ID,0))</f>
        <v/>
      </c>
      <c r="AE45" s="1252"/>
      <c r="AF45" s="1252"/>
      <c r="AG45" s="1252"/>
      <c r="AH45" s="1252"/>
      <c r="AI45" s="1252"/>
      <c r="AJ45" s="1252"/>
      <c r="AK45" s="1252"/>
      <c r="AL45" s="1253"/>
      <c r="AM45" s="718" t="s">
        <v>399</v>
      </c>
      <c r="AO45" s="69"/>
      <c r="AP45" s="69" t="str">
        <f t="shared" si="1"/>
        <v xml:space="preserve">Наименование системы теплоснабжения </v>
      </c>
      <c r="AQ45" s="69"/>
      <c r="AR45" s="69"/>
    </row>
    <row r="46" spans="1:44" ht="21" customHeight="1">
      <c r="A46" s="721" t="s">
        <v>211</v>
      </c>
      <c r="B46" s="721" t="s">
        <v>212</v>
      </c>
      <c r="C46" s="721" t="s">
        <v>213</v>
      </c>
      <c r="D46" s="721" t="s">
        <v>214</v>
      </c>
      <c r="E46" s="1290"/>
      <c r="F46" s="1290"/>
      <c r="G46" s="1290"/>
      <c r="H46" s="1289">
        <v>1</v>
      </c>
      <c r="I46" s="721"/>
      <c r="J46" s="721"/>
      <c r="K46" s="721"/>
      <c r="L46" s="744"/>
      <c r="M46" s="334"/>
      <c r="N46" s="334"/>
      <c r="O46" s="334"/>
      <c r="P46" s="204"/>
      <c r="Q46" s="202"/>
      <c r="R46" s="203"/>
      <c r="S46" s="698" t="str">
        <f>INDEX(PT_DIFFERENTIATION_NUM_IST_TE,MATCH(D46,PT_DIFFERENTIATION_IST_TE_ID,0))</f>
        <v>...</v>
      </c>
      <c r="T46" s="177" t="s">
        <v>400</v>
      </c>
      <c r="U46" s="169"/>
      <c r="V46" s="1251"/>
      <c r="W46" s="1252"/>
      <c r="X46" s="1252"/>
      <c r="Y46" s="1252"/>
      <c r="Z46" s="1252"/>
      <c r="AA46" s="1252"/>
      <c r="AB46" s="1252"/>
      <c r="AC46" s="1253"/>
      <c r="AD46" s="1251" t="str">
        <f>INDEX(PT_DIFFERENTIATION_IST_TE,MATCH(D46,PT_DIFFERENTIATION_IST_TE_ID,0))</f>
        <v/>
      </c>
      <c r="AE46" s="1252"/>
      <c r="AF46" s="1252"/>
      <c r="AG46" s="1252"/>
      <c r="AH46" s="1252"/>
      <c r="AI46" s="1252"/>
      <c r="AJ46" s="1252"/>
      <c r="AK46" s="1252"/>
      <c r="AL46" s="1253"/>
      <c r="AM46" s="718" t="s">
        <v>401</v>
      </c>
      <c r="AO46" s="69"/>
      <c r="AP46" s="69" t="str">
        <f t="shared" si="1"/>
        <v xml:space="preserve">Источник тепловой энергии  </v>
      </c>
      <c r="AQ46" s="69"/>
      <c r="AR46" s="69"/>
    </row>
    <row r="47" spans="1:44" ht="47.25" customHeight="1">
      <c r="A47" s="721" t="s">
        <v>211</v>
      </c>
      <c r="B47" s="721" t="s">
        <v>212</v>
      </c>
      <c r="C47" s="721" t="s">
        <v>213</v>
      </c>
      <c r="D47" s="721" t="s">
        <v>214</v>
      </c>
      <c r="E47" s="1290"/>
      <c r="F47" s="1290"/>
      <c r="G47" s="1290"/>
      <c r="H47" s="1290"/>
      <c r="I47" s="1146" t="str">
        <f>S46&amp;".1"</f>
        <v>....1</v>
      </c>
      <c r="J47" s="721"/>
      <c r="K47" s="721"/>
      <c r="L47" s="744" t="s">
        <v>402</v>
      </c>
      <c r="P47" s="1264">
        <v>1</v>
      </c>
      <c r="Q47" s="120"/>
      <c r="R47" s="206"/>
      <c r="S47" s="698" t="str">
        <f>$I47</f>
        <v>....1</v>
      </c>
      <c r="T47" s="162" t="s">
        <v>403</v>
      </c>
      <c r="U47" s="169"/>
      <c r="V47" s="1254"/>
      <c r="W47" s="1255"/>
      <c r="X47" s="1255"/>
      <c r="Y47" s="1255"/>
      <c r="Z47" s="1255"/>
      <c r="AA47" s="1255"/>
      <c r="AB47" s="1255"/>
      <c r="AC47" s="1256"/>
      <c r="AD47" s="1254"/>
      <c r="AE47" s="1255"/>
      <c r="AF47" s="1255"/>
      <c r="AG47" s="1255"/>
      <c r="AH47" s="1255"/>
      <c r="AI47" s="1255"/>
      <c r="AJ47" s="1255"/>
      <c r="AK47" s="1255"/>
      <c r="AL47" s="1256"/>
      <c r="AM47" s="718" t="s">
        <v>404</v>
      </c>
      <c r="AO47" s="69"/>
      <c r="AP47" s="69" t="str">
        <f t="shared" si="1"/>
        <v>Схема подключения теплопотребляющей установки к коллектору источника тепловой энергии</v>
      </c>
      <c r="AQ47" s="69"/>
      <c r="AR47" s="69"/>
    </row>
    <row r="48" spans="1:44" ht="21" customHeight="1">
      <c r="A48" s="721" t="s">
        <v>211</v>
      </c>
      <c r="B48" s="721" t="s">
        <v>212</v>
      </c>
      <c r="C48" s="721" t="s">
        <v>213</v>
      </c>
      <c r="D48" s="721" t="s">
        <v>214</v>
      </c>
      <c r="E48" s="1290"/>
      <c r="F48" s="1290"/>
      <c r="G48" s="1290"/>
      <c r="H48" s="1290"/>
      <c r="I48" s="1117"/>
      <c r="J48" s="1146" t="str">
        <f>I47&amp;".1"</f>
        <v>....1.1</v>
      </c>
      <c r="K48" s="721"/>
      <c r="L48" s="744" t="s">
        <v>405</v>
      </c>
      <c r="P48" s="1264"/>
      <c r="Q48" s="1264">
        <v>1</v>
      </c>
      <c r="R48" s="207"/>
      <c r="S48" s="698" t="str">
        <f>$J48</f>
        <v>....1.1</v>
      </c>
      <c r="T48" s="163" t="s">
        <v>406</v>
      </c>
      <c r="U48" s="169"/>
      <c r="V48" s="1254"/>
      <c r="W48" s="1255"/>
      <c r="X48" s="1255"/>
      <c r="Y48" s="1255"/>
      <c r="Z48" s="1255"/>
      <c r="AA48" s="1255"/>
      <c r="AB48" s="1255"/>
      <c r="AC48" s="1256"/>
      <c r="AD48" s="1254"/>
      <c r="AE48" s="1255"/>
      <c r="AF48" s="1255"/>
      <c r="AG48" s="1255"/>
      <c r="AH48" s="1255"/>
      <c r="AI48" s="1255"/>
      <c r="AJ48" s="1255"/>
      <c r="AK48" s="1255"/>
      <c r="AL48" s="1256"/>
      <c r="AM48" s="718" t="s">
        <v>407</v>
      </c>
      <c r="AO48" s="69"/>
      <c r="AP48" s="69" t="str">
        <f t="shared" si="1"/>
        <v>Группа потребителей</v>
      </c>
      <c r="AQ48" s="69"/>
      <c r="AR48" s="69"/>
    </row>
    <row r="49" spans="1:44" ht="21" customHeight="1">
      <c r="A49" s="721" t="s">
        <v>211</v>
      </c>
      <c r="B49" s="721" t="s">
        <v>212</v>
      </c>
      <c r="C49" s="721" t="s">
        <v>213</v>
      </c>
      <c r="D49" s="721" t="s">
        <v>214</v>
      </c>
      <c r="E49" s="1290"/>
      <c r="F49" s="1290"/>
      <c r="G49" s="1290"/>
      <c r="H49" s="1290"/>
      <c r="I49" s="1117"/>
      <c r="J49" s="1117"/>
      <c r="K49" s="1146" t="str">
        <f>J48&amp;".1"</f>
        <v>....1.1.1</v>
      </c>
      <c r="L49" s="744" t="s">
        <v>408</v>
      </c>
      <c r="P49" s="1264"/>
      <c r="Q49" s="1264"/>
      <c r="R49" s="207">
        <v>1</v>
      </c>
      <c r="S49" s="698" t="str">
        <f>$K49</f>
        <v>....1.1.1</v>
      </c>
      <c r="T49" s="755"/>
      <c r="U49" s="169"/>
      <c r="V49" s="304"/>
      <c r="W49" s="189"/>
      <c r="X49" s="304"/>
      <c r="Y49" s="717"/>
      <c r="Z49" s="1268"/>
      <c r="AA49" s="1127" t="s">
        <v>62</v>
      </c>
      <c r="AB49" s="1268"/>
      <c r="AC49" s="1127" t="s">
        <v>62</v>
      </c>
      <c r="AD49" s="304"/>
      <c r="AE49" s="189"/>
      <c r="AF49" s="304"/>
      <c r="AG49" s="717"/>
      <c r="AH49" s="1268"/>
      <c r="AI49" s="1127" t="s">
        <v>62</v>
      </c>
      <c r="AJ49" s="1287"/>
      <c r="AK49" s="1127" t="s">
        <v>62</v>
      </c>
      <c r="AL49" s="756"/>
      <c r="AM49" s="1260" t="s">
        <v>409</v>
      </c>
      <c r="AN49" s="68" t="e">
        <f ca="1">STRCHECKDATE(V50:AL50)</f>
        <v>#NAME?</v>
      </c>
      <c r="AO49" s="69"/>
      <c r="AP49" s="69" t="str">
        <f t="shared" si="1"/>
        <v/>
      </c>
      <c r="AQ49" s="69"/>
      <c r="AR49" s="69"/>
    </row>
    <row r="50" spans="1:44" ht="0.75" customHeight="1">
      <c r="A50" s="721" t="s">
        <v>211</v>
      </c>
      <c r="B50" s="721" t="s">
        <v>212</v>
      </c>
      <c r="C50" s="721" t="s">
        <v>213</v>
      </c>
      <c r="D50" s="721" t="s">
        <v>214</v>
      </c>
      <c r="E50" s="1290"/>
      <c r="F50" s="1290"/>
      <c r="G50" s="1290"/>
      <c r="H50" s="1290"/>
      <c r="I50" s="1117"/>
      <c r="J50" s="1117"/>
      <c r="K50" s="1146"/>
      <c r="L50" s="744"/>
      <c r="P50" s="1264"/>
      <c r="Q50" s="1264"/>
      <c r="R50" s="207"/>
      <c r="S50" s="65"/>
      <c r="T50" s="169"/>
      <c r="U50" s="169"/>
      <c r="V50" s="189"/>
      <c r="W50" s="189"/>
      <c r="X50" s="189"/>
      <c r="Y50" s="190" t="str">
        <f>Z49&amp;"-"&amp;AB49</f>
        <v>-</v>
      </c>
      <c r="Z50" s="1269"/>
      <c r="AA50" s="1127"/>
      <c r="AB50" s="1269"/>
      <c r="AC50" s="1127"/>
      <c r="AD50" s="189"/>
      <c r="AE50" s="189"/>
      <c r="AF50" s="189"/>
      <c r="AG50" s="190" t="str">
        <f>AH49&amp;"-"&amp;AJ49</f>
        <v>-</v>
      </c>
      <c r="AH50" s="1269"/>
      <c r="AI50" s="1127"/>
      <c r="AJ50" s="1288"/>
      <c r="AK50" s="1127"/>
      <c r="AL50" s="757"/>
      <c r="AM50" s="1261"/>
      <c r="AO50" s="69"/>
      <c r="AP50" s="69" t="str">
        <f t="shared" si="1"/>
        <v/>
      </c>
      <c r="AQ50" s="69"/>
      <c r="AR50" s="69"/>
    </row>
    <row r="51" spans="1:44" ht="11.25" customHeight="1">
      <c r="A51" s="721" t="s">
        <v>211</v>
      </c>
      <c r="B51" s="721" t="s">
        <v>212</v>
      </c>
      <c r="C51" s="721" t="s">
        <v>213</v>
      </c>
      <c r="D51" s="721" t="s">
        <v>214</v>
      </c>
      <c r="E51" s="1290"/>
      <c r="F51" s="1290"/>
      <c r="G51" s="1290"/>
      <c r="H51" s="1290"/>
      <c r="I51" s="1117"/>
      <c r="J51" s="1146"/>
      <c r="K51" s="721"/>
      <c r="L51" s="744"/>
      <c r="P51" s="1264"/>
      <c r="Q51" s="1264"/>
      <c r="R51" s="206"/>
      <c r="S51" s="732"/>
      <c r="T51" s="165" t="s">
        <v>410</v>
      </c>
      <c r="U51" s="211"/>
      <c r="V51" s="211"/>
      <c r="W51" s="211"/>
      <c r="X51" s="211"/>
      <c r="Y51" s="211"/>
      <c r="Z51" s="211"/>
      <c r="AA51" s="211"/>
      <c r="AB51" s="211"/>
      <c r="AC51" s="211"/>
      <c r="AD51" s="211"/>
      <c r="AE51" s="211"/>
      <c r="AF51" s="211"/>
      <c r="AG51" s="211"/>
      <c r="AH51" s="211"/>
      <c r="AI51" s="211"/>
      <c r="AJ51" s="211"/>
      <c r="AK51" s="211"/>
      <c r="AL51" s="188"/>
      <c r="AM51" s="1262"/>
      <c r="AO51" s="69"/>
      <c r="AP51" s="69" t="str">
        <f t="shared" si="1"/>
        <v>Добавить вид теплоносителя (параметры теплоносителя)</v>
      </c>
      <c r="AQ51" s="69"/>
      <c r="AR51" s="69"/>
    </row>
    <row r="52" spans="1:44" ht="11.25" customHeight="1">
      <c r="A52" s="721" t="s">
        <v>211</v>
      </c>
      <c r="B52" s="721" t="s">
        <v>212</v>
      </c>
      <c r="C52" s="721" t="s">
        <v>213</v>
      </c>
      <c r="D52" s="721" t="s">
        <v>214</v>
      </c>
      <c r="E52" s="1290"/>
      <c r="F52" s="1290"/>
      <c r="G52" s="1290"/>
      <c r="H52" s="1290"/>
      <c r="I52" s="1146"/>
      <c r="J52" s="721"/>
      <c r="K52" s="721"/>
      <c r="L52" s="744"/>
      <c r="P52" s="1264"/>
      <c r="Q52" s="120"/>
      <c r="R52" s="206"/>
      <c r="S52" s="732"/>
      <c r="T52" s="164" t="s">
        <v>411</v>
      </c>
      <c r="U52" s="211"/>
      <c r="V52" s="211"/>
      <c r="W52" s="211"/>
      <c r="X52" s="211"/>
      <c r="Y52" s="211"/>
      <c r="Z52" s="211"/>
      <c r="AA52" s="211"/>
      <c r="AB52" s="211"/>
      <c r="AC52" s="210"/>
      <c r="AD52" s="211"/>
      <c r="AE52" s="211"/>
      <c r="AF52" s="211"/>
      <c r="AG52" s="211"/>
      <c r="AH52" s="211"/>
      <c r="AI52" s="211"/>
      <c r="AJ52" s="211"/>
      <c r="AK52" s="210"/>
      <c r="AL52" s="211"/>
      <c r="AM52" s="172"/>
      <c r="AO52" s="69"/>
      <c r="AP52" s="69" t="str">
        <f t="shared" si="1"/>
        <v>Добавить группу потребителей</v>
      </c>
      <c r="AQ52" s="69"/>
      <c r="AR52" s="69"/>
    </row>
    <row r="53" spans="1:44" ht="14.25" customHeight="1">
      <c r="A53" s="721" t="s">
        <v>211</v>
      </c>
      <c r="B53" s="721" t="s">
        <v>212</v>
      </c>
      <c r="C53" s="721" t="s">
        <v>213</v>
      </c>
      <c r="D53" s="721" t="s">
        <v>214</v>
      </c>
      <c r="E53" s="1290"/>
      <c r="F53" s="1290"/>
      <c r="G53" s="1290"/>
      <c r="H53" s="1289"/>
      <c r="I53" s="721"/>
      <c r="J53" s="721"/>
      <c r="K53" s="721"/>
      <c r="L53" s="744"/>
      <c r="M53" s="334"/>
      <c r="N53" s="334"/>
      <c r="O53" s="12"/>
      <c r="P53" s="35"/>
      <c r="Q53" s="214"/>
      <c r="R53" s="205"/>
      <c r="S53" s="732"/>
      <c r="T53" s="209" t="s">
        <v>412</v>
      </c>
      <c r="U53" s="211"/>
      <c r="V53" s="211"/>
      <c r="W53" s="211"/>
      <c r="X53" s="211"/>
      <c r="Y53" s="211"/>
      <c r="Z53" s="211"/>
      <c r="AA53" s="211"/>
      <c r="AB53" s="211"/>
      <c r="AC53" s="210"/>
      <c r="AD53" s="211"/>
      <c r="AE53" s="211"/>
      <c r="AF53" s="211"/>
      <c r="AG53" s="211"/>
      <c r="AH53" s="211"/>
      <c r="AI53" s="211"/>
      <c r="AJ53" s="211"/>
      <c r="AK53" s="210"/>
      <c r="AL53" s="211"/>
      <c r="AM53" s="172"/>
      <c r="AO53" s="69"/>
      <c r="AP53" s="69" t="str">
        <f t="shared" si="1"/>
        <v>Добавить схему подключения</v>
      </c>
      <c r="AQ53" s="69"/>
      <c r="AR53" s="69"/>
    </row>
    <row r="54" spans="1:44" s="68" customFormat="1" ht="5.25" customHeight="1">
      <c r="A54" s="764" t="s">
        <v>211</v>
      </c>
      <c r="B54" s="764" t="s">
        <v>212</v>
      </c>
      <c r="C54" s="764" t="s">
        <v>213</v>
      </c>
      <c r="D54" s="764"/>
      <c r="E54" s="1290"/>
      <c r="F54" s="1290"/>
      <c r="G54" s="1289"/>
      <c r="H54" s="764"/>
      <c r="I54" s="764"/>
      <c r="J54" s="764"/>
      <c r="K54" s="764"/>
      <c r="L54" s="765"/>
      <c r="M54" s="766"/>
      <c r="N54" s="766"/>
      <c r="O54" s="201"/>
      <c r="P54" s="102"/>
      <c r="Q54" s="745"/>
      <c r="R54" s="102"/>
      <c r="S54" s="750"/>
      <c r="T54" s="752" t="s">
        <v>413</v>
      </c>
      <c r="U54" s="311"/>
      <c r="V54" s="311"/>
      <c r="W54" s="311"/>
      <c r="X54" s="311"/>
      <c r="Y54" s="311"/>
      <c r="Z54" s="311"/>
      <c r="AA54" s="311"/>
      <c r="AB54" s="311"/>
      <c r="AC54" s="311"/>
      <c r="AD54" s="311"/>
      <c r="AE54" s="311"/>
      <c r="AF54" s="311"/>
      <c r="AG54" s="311"/>
      <c r="AH54" s="311"/>
      <c r="AI54" s="311"/>
      <c r="AJ54" s="311"/>
      <c r="AK54" s="311"/>
      <c r="AL54" s="311"/>
      <c r="AM54" s="311"/>
      <c r="AO54" s="69"/>
      <c r="AP54" s="69" t="str">
        <f t="shared" si="1"/>
        <v>Добавить источник для дифференциации</v>
      </c>
      <c r="AQ54" s="69"/>
      <c r="AR54" s="69"/>
    </row>
    <row r="55" spans="1:44" s="68" customFormat="1" ht="5.25" customHeight="1">
      <c r="A55" s="764" t="s">
        <v>211</v>
      </c>
      <c r="B55" s="764" t="s">
        <v>212</v>
      </c>
      <c r="C55" s="764"/>
      <c r="D55" s="764"/>
      <c r="E55" s="1290"/>
      <c r="F55" s="1289"/>
      <c r="G55" s="764"/>
      <c r="H55" s="764"/>
      <c r="I55" s="764"/>
      <c r="J55" s="764"/>
      <c r="K55" s="764"/>
      <c r="L55" s="765"/>
      <c r="M55" s="767"/>
      <c r="N55" s="767"/>
      <c r="O55" s="201"/>
      <c r="P55" s="102"/>
      <c r="Q55" s="745"/>
      <c r="R55" s="102"/>
      <c r="S55" s="750"/>
      <c r="T55" s="752" t="s">
        <v>414</v>
      </c>
      <c r="U55" s="311"/>
      <c r="V55" s="311"/>
      <c r="W55" s="311"/>
      <c r="X55" s="311"/>
      <c r="Y55" s="311"/>
      <c r="Z55" s="311"/>
      <c r="AA55" s="311"/>
      <c r="AB55" s="311"/>
      <c r="AC55" s="311"/>
      <c r="AD55" s="311"/>
      <c r="AE55" s="311"/>
      <c r="AF55" s="311"/>
      <c r="AG55" s="311"/>
      <c r="AH55" s="311"/>
      <c r="AI55" s="311"/>
      <c r="AJ55" s="311"/>
      <c r="AK55" s="311"/>
      <c r="AL55" s="311"/>
      <c r="AM55" s="311"/>
      <c r="AO55" s="69"/>
      <c r="AP55" s="69" t="str">
        <f t="shared" si="1"/>
        <v>Добавить централизованную систему для дифференциации</v>
      </c>
      <c r="AQ55" s="69"/>
      <c r="AR55" s="69"/>
    </row>
    <row r="56" spans="1:44" s="68" customFormat="1" ht="5.25" customHeight="1">
      <c r="A56" s="764" t="s">
        <v>211</v>
      </c>
      <c r="B56" s="764"/>
      <c r="C56" s="764"/>
      <c r="D56" s="764"/>
      <c r="E56" s="1289"/>
      <c r="F56" s="764"/>
      <c r="G56" s="764"/>
      <c r="H56" s="764"/>
      <c r="I56" s="764"/>
      <c r="J56" s="764"/>
      <c r="K56" s="764"/>
      <c r="L56" s="765"/>
      <c r="M56" s="767"/>
      <c r="N56" s="767"/>
      <c r="O56" s="201"/>
      <c r="P56" s="102"/>
      <c r="Q56" s="745"/>
      <c r="R56" s="102"/>
      <c r="S56" s="750"/>
      <c r="T56" s="752" t="s">
        <v>415</v>
      </c>
      <c r="U56" s="311"/>
      <c r="V56" s="311"/>
      <c r="W56" s="311"/>
      <c r="X56" s="311"/>
      <c r="Y56" s="311"/>
      <c r="Z56" s="311"/>
      <c r="AA56" s="311"/>
      <c r="AB56" s="311"/>
      <c r="AC56" s="311"/>
      <c r="AD56" s="311"/>
      <c r="AE56" s="311"/>
      <c r="AF56" s="311"/>
      <c r="AG56" s="311"/>
      <c r="AH56" s="311"/>
      <c r="AI56" s="311"/>
      <c r="AJ56" s="311"/>
      <c r="AK56" s="311"/>
      <c r="AL56" s="311"/>
      <c r="AM56" s="311"/>
      <c r="AO56" s="69"/>
      <c r="AP56" s="69" t="str">
        <f t="shared" si="1"/>
        <v>Добавить территорию для дифференциации</v>
      </c>
      <c r="AQ56" s="69"/>
      <c r="AR56" s="69"/>
    </row>
    <row r="57" spans="1:44" s="68" customFormat="1" ht="5.25" customHeight="1">
      <c r="A57" s="764"/>
      <c r="B57" s="764"/>
      <c r="C57" s="764"/>
      <c r="D57" s="764"/>
      <c r="E57" s="764"/>
      <c r="F57" s="764"/>
      <c r="G57" s="764"/>
      <c r="H57" s="764"/>
      <c r="I57" s="764"/>
      <c r="J57" s="764"/>
      <c r="K57" s="764"/>
      <c r="L57" s="765"/>
      <c r="M57" s="767"/>
      <c r="N57" s="767"/>
      <c r="O57" s="201"/>
      <c r="P57" s="102"/>
      <c r="Q57" s="745"/>
      <c r="R57" s="102"/>
      <c r="S57" s="750"/>
      <c r="T57" s="752" t="s">
        <v>447</v>
      </c>
      <c r="U57" s="311"/>
      <c r="V57" s="311"/>
      <c r="W57" s="311"/>
      <c r="X57" s="311"/>
      <c r="Y57" s="311"/>
      <c r="Z57" s="311"/>
      <c r="AA57" s="311"/>
      <c r="AB57" s="311"/>
      <c r="AC57" s="311"/>
      <c r="AD57" s="311"/>
      <c r="AE57" s="311"/>
      <c r="AF57" s="311"/>
      <c r="AG57" s="311"/>
      <c r="AH57" s="311"/>
      <c r="AI57" s="311"/>
      <c r="AJ57" s="311"/>
      <c r="AK57" s="311"/>
      <c r="AL57" s="311"/>
      <c r="AM57" s="311"/>
      <c r="AO57" s="69"/>
      <c r="AP57" s="69" t="str">
        <f t="shared" si="1"/>
        <v>Добавить наименование тарифа</v>
      </c>
      <c r="AQ57" s="69"/>
      <c r="AR57" s="69"/>
    </row>
    <row r="58" spans="1:44" ht="11.25" customHeight="1">
      <c r="M58" s="12"/>
      <c r="N58" s="12"/>
      <c r="O58" s="12"/>
      <c r="P58" s="12"/>
      <c r="Q58" s="12"/>
      <c r="R58" s="12"/>
      <c r="S58" s="12"/>
      <c r="AN58" s="12"/>
      <c r="AO58" s="12"/>
      <c r="AP58" s="12"/>
      <c r="AQ58" s="12"/>
      <c r="AR58" s="12"/>
    </row>
    <row r="59" spans="1:44" ht="27" customHeight="1">
      <c r="O59" s="12"/>
      <c r="S59" s="196"/>
      <c r="T59" s="1285"/>
      <c r="U59" s="1285"/>
      <c r="V59" s="1285"/>
      <c r="W59" s="1285"/>
      <c r="X59" s="1285"/>
      <c r="Y59" s="1285"/>
      <c r="Z59" s="1285"/>
      <c r="AA59" s="1285"/>
      <c r="AB59" s="1285"/>
      <c r="AC59" s="1285"/>
      <c r="AD59" s="1285"/>
      <c r="AE59" s="1285"/>
      <c r="AF59" s="1285"/>
      <c r="AG59" s="1285"/>
      <c r="AH59" s="1285"/>
      <c r="AI59" s="1285"/>
      <c r="AJ59" s="1285"/>
      <c r="AK59" s="1285"/>
      <c r="AL59" s="1285"/>
      <c r="AM59" s="1285"/>
    </row>
    <row r="60" spans="1:44" ht="62.25" customHeight="1">
      <c r="O60" s="12"/>
      <c r="T60" s="1285"/>
      <c r="U60" s="1285"/>
      <c r="V60" s="1285"/>
      <c r="W60" s="1285"/>
      <c r="X60" s="1285"/>
      <c r="Y60" s="1285"/>
      <c r="Z60" s="1285"/>
      <c r="AA60" s="1285"/>
      <c r="AB60" s="1285"/>
      <c r="AC60" s="1285"/>
      <c r="AD60" s="1285"/>
      <c r="AE60" s="1285"/>
      <c r="AF60" s="1285"/>
      <c r="AG60" s="1285"/>
      <c r="AH60" s="1285"/>
      <c r="AI60" s="1285"/>
      <c r="AJ60" s="1285"/>
      <c r="AK60" s="1285"/>
      <c r="AL60" s="1285"/>
      <c r="AM60" s="1285"/>
    </row>
    <row r="61" spans="1:44" ht="14.25" customHeight="1">
      <c r="O61" s="12"/>
    </row>
    <row r="62" spans="1:44" ht="18" customHeight="1">
      <c r="O62" s="12"/>
      <c r="S62" s="196"/>
      <c r="T62" s="1285"/>
      <c r="U62" s="1285"/>
      <c r="V62" s="1285"/>
      <c r="W62" s="1285"/>
      <c r="X62" s="1285"/>
      <c r="Y62" s="1285"/>
      <c r="Z62" s="1285"/>
      <c r="AA62" s="1285"/>
      <c r="AB62" s="1285"/>
      <c r="AC62" s="1285"/>
      <c r="AD62" s="1285"/>
      <c r="AE62" s="1285"/>
      <c r="AF62" s="1285"/>
      <c r="AG62" s="1285"/>
      <c r="AH62" s="1285"/>
      <c r="AI62" s="1285"/>
      <c r="AJ62" s="1285"/>
      <c r="AK62" s="1285"/>
      <c r="AL62" s="1285"/>
      <c r="AM62" s="1285"/>
    </row>
    <row r="63" spans="1:44" ht="18" customHeight="1">
      <c r="O63" s="12"/>
      <c r="T63" s="1285"/>
      <c r="U63" s="1285"/>
      <c r="V63" s="1285"/>
      <c r="W63" s="1285"/>
      <c r="X63" s="1285"/>
      <c r="Y63" s="1285"/>
      <c r="Z63" s="1285"/>
      <c r="AA63" s="1285"/>
      <c r="AB63" s="1285"/>
      <c r="AC63" s="1285"/>
      <c r="AD63" s="1285"/>
      <c r="AE63" s="1285"/>
      <c r="AF63" s="1285"/>
      <c r="AG63" s="1285"/>
      <c r="AH63" s="1285"/>
      <c r="AI63" s="1285"/>
      <c r="AJ63" s="1285"/>
      <c r="AK63" s="1285"/>
      <c r="AL63" s="1285"/>
      <c r="AM63" s="1285"/>
    </row>
    <row r="64" spans="1:44" ht="27.75" customHeight="1">
      <c r="O64" s="12"/>
      <c r="S64" s="196"/>
      <c r="T64" s="1285"/>
      <c r="U64" s="1285"/>
      <c r="V64" s="1285"/>
      <c r="W64" s="1285"/>
      <c r="X64" s="1285"/>
      <c r="Y64" s="1285"/>
      <c r="Z64" s="1285"/>
      <c r="AA64" s="1285"/>
      <c r="AB64" s="1285"/>
      <c r="AC64" s="1285"/>
      <c r="AD64" s="1285"/>
      <c r="AE64" s="1285"/>
      <c r="AF64" s="1285"/>
      <c r="AG64" s="1285"/>
      <c r="AH64" s="1285"/>
      <c r="AI64" s="1285"/>
      <c r="AJ64" s="1285"/>
      <c r="AK64" s="1285"/>
      <c r="AL64" s="1285"/>
      <c r="AM64" s="1285"/>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ED56F-2C4E-9312-E7C1-DF4AA7ADA45E}">
  <sheetPr>
    <tabColor theme="6" tint="0.39997558519241921"/>
  </sheetPr>
  <dimension ref="A1:AR64"/>
  <sheetViews>
    <sheetView showGridLines="0" topLeftCell="P25" workbookViewId="0"/>
  </sheetViews>
  <sheetFormatPr defaultColWidth="10.5703125" defaultRowHeight="14.25" customHeight="1"/>
  <cols>
    <col min="1" max="1" width="10.5703125" style="12" hidden="1"/>
    <col min="2" max="2" width="11" style="12" hidden="1" customWidth="1"/>
    <col min="3" max="3" width="10.5703125" style="12" hidden="1"/>
    <col min="4" max="4" width="11.85546875" style="12" hidden="1" customWidth="1"/>
    <col min="5" max="5" width="10" style="12" hidden="1" customWidth="1"/>
    <col min="6" max="6" width="8.7109375" style="12" hidden="1" customWidth="1"/>
    <col min="7" max="7" width="7.5703125" style="12" hidden="1" customWidth="1"/>
    <col min="8" max="8" width="11.42578125" style="12" hidden="1" customWidth="1"/>
    <col min="9" max="9" width="12" style="12" hidden="1" customWidth="1"/>
    <col min="10" max="10" width="9.85546875" style="12" hidden="1" customWidth="1"/>
    <col min="11" max="11" width="11.42578125" style="12" hidden="1" customWidth="1"/>
    <col min="12" max="12" width="19.140625" style="59" hidden="1" customWidth="1"/>
    <col min="13" max="14" width="12.28515625" style="34" hidden="1" customWidth="1"/>
    <col min="15" max="15" width="23.42578125" style="34" hidden="1" customWidth="1"/>
    <col min="16" max="16" width="3.7109375" style="34" customWidth="1"/>
    <col min="17" max="18" width="3.7109375" style="30" customWidth="1"/>
    <col min="19" max="19" width="12.7109375" style="334" customWidth="1"/>
    <col min="20" max="20" width="32" style="12" customWidth="1"/>
    <col min="21" max="21" width="0.140625" style="12" customWidth="1"/>
    <col min="22" max="22" width="24.7109375" style="12" hidden="1" customWidth="1"/>
    <col min="23" max="23" width="0.140625" style="12" hidden="1" customWidth="1"/>
    <col min="24" max="25" width="24.7109375" style="12" hidden="1" customWidth="1"/>
    <col min="26" max="26" width="11.7109375" style="12" hidden="1" customWidth="1"/>
    <col min="27" max="27" width="3.7109375" style="12" hidden="1" customWidth="1"/>
    <col min="28" max="28" width="11.7109375" style="12" hidden="1" customWidth="1"/>
    <col min="29" max="29" width="8.5703125" style="12" hidden="1" customWidth="1"/>
    <col min="30" max="30" width="24.7109375" style="12" customWidth="1"/>
    <col min="31" max="31" width="0.140625" style="12" customWidth="1"/>
    <col min="32" max="33" width="24.7109375" style="12" customWidth="1"/>
    <col min="34" max="34" width="11.7109375" style="12" customWidth="1"/>
    <col min="35" max="35" width="3.7109375" style="12" customWidth="1"/>
    <col min="36" max="36" width="11.7109375" style="12" customWidth="1"/>
    <col min="37" max="37" width="8.5703125" style="12" hidden="1" customWidth="1"/>
    <col min="38" max="38" width="4.7109375" style="12" customWidth="1"/>
    <col min="39" max="39" width="115.7109375" style="12" customWidth="1"/>
    <col min="40" max="41" width="10.5703125" style="68"/>
    <col min="42" max="42" width="11.140625" style="68" customWidth="1"/>
    <col min="43" max="44" width="10.5703125" style="68"/>
  </cols>
  <sheetData>
    <row r="1" spans="1:44" ht="14.25" hidden="1" customHeight="1"/>
    <row r="2" spans="1:44" ht="21" hidden="1" customHeight="1">
      <c r="A2" s="721"/>
      <c r="B2" s="721"/>
      <c r="C2" s="721"/>
      <c r="D2" s="721"/>
      <c r="E2" s="1289">
        <v>1</v>
      </c>
      <c r="F2" s="721"/>
      <c r="G2" s="721"/>
      <c r="H2" s="721"/>
      <c r="I2" s="721"/>
      <c r="J2" s="721"/>
      <c r="K2" s="721"/>
      <c r="L2" s="744"/>
      <c r="M2" s="334"/>
      <c r="N2" s="334"/>
      <c r="O2" s="334"/>
      <c r="Q2" s="35"/>
      <c r="R2" s="205"/>
      <c r="S2" s="698" t="e">
        <f>INDEX(PT_DIFFERENTIATION_NUM_NTAR,MATCH(A2,PT_DIFFERENTIATION_NTAR_ID,0))</f>
        <v>#N/A</v>
      </c>
      <c r="T2" s="67" t="s">
        <v>124</v>
      </c>
      <c r="U2" s="169"/>
      <c r="V2" s="1251"/>
      <c r="W2" s="1252"/>
      <c r="X2" s="1252"/>
      <c r="Y2" s="1252"/>
      <c r="Z2" s="1252"/>
      <c r="AA2" s="1252"/>
      <c r="AB2" s="1252"/>
      <c r="AC2" s="1253"/>
      <c r="AD2" s="1251" t="e">
        <f>INDEX(PT_DIFFERENTIATION_NTAR,MATCH(A2,PT_DIFFERENTIATION_NTAR_ID,0))</f>
        <v>#N/A</v>
      </c>
      <c r="AE2" s="1252"/>
      <c r="AF2" s="1252"/>
      <c r="AG2" s="1252"/>
      <c r="AH2" s="1252"/>
      <c r="AI2" s="1252"/>
      <c r="AJ2" s="1252"/>
      <c r="AK2" s="1252"/>
      <c r="AL2" s="1253"/>
      <c r="AM2" s="718" t="s">
        <v>395</v>
      </c>
      <c r="AO2" s="69"/>
      <c r="AP2" s="69" t="str">
        <f t="shared" ref="AP2:AP15" si="0">IF(T2="","",T2)</f>
        <v>Наименование тарифа</v>
      </c>
      <c r="AQ2" s="69"/>
      <c r="AR2" s="69"/>
    </row>
    <row r="3" spans="1:44" ht="21" hidden="1" customHeight="1">
      <c r="A3" s="721"/>
      <c r="B3" s="721"/>
      <c r="C3" s="721"/>
      <c r="D3" s="721"/>
      <c r="E3" s="1290"/>
      <c r="F3" s="1289">
        <v>1</v>
      </c>
      <c r="G3" s="721"/>
      <c r="H3" s="721"/>
      <c r="I3" s="721"/>
      <c r="J3" s="721"/>
      <c r="K3" s="721"/>
      <c r="L3" s="744"/>
      <c r="M3" s="334"/>
      <c r="N3" s="334"/>
      <c r="O3" s="334"/>
      <c r="P3" s="59"/>
      <c r="Q3" s="202"/>
      <c r="R3" s="203"/>
      <c r="S3" s="698" t="e">
        <f>INDEX(PT_DIFFERENTIATION_NUM_TER,MATCH(B3,PT_DIFFERENTIATION_TER_ID,0))</f>
        <v>#N/A</v>
      </c>
      <c r="T3" s="175" t="s">
        <v>396</v>
      </c>
      <c r="U3" s="169"/>
      <c r="V3" s="1251"/>
      <c r="W3" s="1252"/>
      <c r="X3" s="1252"/>
      <c r="Y3" s="1252"/>
      <c r="Z3" s="1252"/>
      <c r="AA3" s="1252"/>
      <c r="AB3" s="1252"/>
      <c r="AC3" s="1253"/>
      <c r="AD3" s="1251" t="e">
        <f>INDEX(PT_DIFFERENTIATION_TER,MATCH(B3,PT_DIFFERENTIATION_TER_ID,0))</f>
        <v>#N/A</v>
      </c>
      <c r="AE3" s="1252"/>
      <c r="AF3" s="1252"/>
      <c r="AG3" s="1252"/>
      <c r="AH3" s="1252"/>
      <c r="AI3" s="1252"/>
      <c r="AJ3" s="1252"/>
      <c r="AK3" s="1252"/>
      <c r="AL3" s="1253"/>
      <c r="AM3" s="718" t="s">
        <v>397</v>
      </c>
      <c r="AO3" s="69"/>
      <c r="AP3" s="69" t="str">
        <f t="shared" si="0"/>
        <v>Территория действия тарифа</v>
      </c>
      <c r="AQ3" s="69"/>
      <c r="AR3" s="69"/>
    </row>
    <row r="4" spans="1:44" ht="23.25" hidden="1" customHeight="1">
      <c r="A4" s="721"/>
      <c r="B4" s="721"/>
      <c r="C4" s="721"/>
      <c r="D4" s="721"/>
      <c r="E4" s="1290"/>
      <c r="F4" s="1290"/>
      <c r="G4" s="1289">
        <v>1</v>
      </c>
      <c r="H4" s="721"/>
      <c r="I4" s="721"/>
      <c r="J4" s="721"/>
      <c r="K4" s="721"/>
      <c r="L4" s="744"/>
      <c r="M4" s="334"/>
      <c r="N4" s="334"/>
      <c r="O4" s="334"/>
      <c r="P4" s="204"/>
      <c r="Q4" s="202"/>
      <c r="R4" s="203"/>
      <c r="S4" s="698" t="e">
        <f>INDEX(PT_DIFFERENTIATION_NUM_CS,MATCH(C4,PT_DIFFERENTIATION_CS_ID,0))</f>
        <v>#N/A</v>
      </c>
      <c r="T4" s="176" t="s">
        <v>398</v>
      </c>
      <c r="U4" s="169"/>
      <c r="V4" s="1251"/>
      <c r="W4" s="1252"/>
      <c r="X4" s="1252"/>
      <c r="Y4" s="1252"/>
      <c r="Z4" s="1252"/>
      <c r="AA4" s="1252"/>
      <c r="AB4" s="1252"/>
      <c r="AC4" s="1253"/>
      <c r="AD4" s="1251" t="e">
        <f>INDEX(PT_DIFFERENTIATION_CS,MATCH(C4,PT_DIFFERENTIATION_CS_ID,0))</f>
        <v>#N/A</v>
      </c>
      <c r="AE4" s="1252"/>
      <c r="AF4" s="1252"/>
      <c r="AG4" s="1252"/>
      <c r="AH4" s="1252"/>
      <c r="AI4" s="1252"/>
      <c r="AJ4" s="1252"/>
      <c r="AK4" s="1252"/>
      <c r="AL4" s="1253"/>
      <c r="AM4" s="718" t="s">
        <v>399</v>
      </c>
      <c r="AO4" s="69"/>
      <c r="AP4" s="69" t="str">
        <f t="shared" si="0"/>
        <v xml:space="preserve">Наименование системы теплоснабжения </v>
      </c>
      <c r="AQ4" s="69"/>
      <c r="AR4" s="69"/>
    </row>
    <row r="5" spans="1:44" ht="21" hidden="1" customHeight="1">
      <c r="A5" s="721"/>
      <c r="B5" s="721"/>
      <c r="C5" s="721"/>
      <c r="D5" s="721"/>
      <c r="E5" s="1290"/>
      <c r="F5" s="1290"/>
      <c r="G5" s="1290"/>
      <c r="H5" s="1289">
        <v>1</v>
      </c>
      <c r="I5" s="721"/>
      <c r="J5" s="721"/>
      <c r="K5" s="721"/>
      <c r="L5" s="744"/>
      <c r="M5" s="334"/>
      <c r="N5" s="334"/>
      <c r="O5" s="334"/>
      <c r="P5" s="204"/>
      <c r="Q5" s="202"/>
      <c r="R5" s="203"/>
      <c r="S5" s="698" t="e">
        <f>INDEX(PT_DIFFERENTIATION_NUM_IST_TE,MATCH(D5,PT_DIFFERENTIATION_IST_TE_ID,0))</f>
        <v>#N/A</v>
      </c>
      <c r="T5" s="177" t="s">
        <v>400</v>
      </c>
      <c r="U5" s="169"/>
      <c r="V5" s="1251"/>
      <c r="W5" s="1252"/>
      <c r="X5" s="1252"/>
      <c r="Y5" s="1252"/>
      <c r="Z5" s="1252"/>
      <c r="AA5" s="1252"/>
      <c r="AB5" s="1252"/>
      <c r="AC5" s="1253"/>
      <c r="AD5" s="1251" t="e">
        <f>INDEX(PT_DIFFERENTIATION_IST_TE,MATCH(D5,PT_DIFFERENTIATION_IST_TE_ID,0))</f>
        <v>#N/A</v>
      </c>
      <c r="AE5" s="1252"/>
      <c r="AF5" s="1252"/>
      <c r="AG5" s="1252"/>
      <c r="AH5" s="1252"/>
      <c r="AI5" s="1252"/>
      <c r="AJ5" s="1252"/>
      <c r="AK5" s="1252"/>
      <c r="AL5" s="1253"/>
      <c r="AM5" s="718" t="s">
        <v>401</v>
      </c>
      <c r="AO5" s="69"/>
      <c r="AP5" s="69" t="str">
        <f t="shared" si="0"/>
        <v xml:space="preserve">Источник тепловой энергии  </v>
      </c>
      <c r="AQ5" s="69"/>
      <c r="AR5" s="69"/>
    </row>
    <row r="6" spans="1:44" ht="47.25" hidden="1" customHeight="1">
      <c r="A6" s="721"/>
      <c r="B6" s="721"/>
      <c r="C6" s="721"/>
      <c r="D6" s="721"/>
      <c r="E6" s="1290"/>
      <c r="F6" s="1290"/>
      <c r="G6" s="1290"/>
      <c r="H6" s="1290"/>
      <c r="I6" s="1146" t="e">
        <f>S5&amp;".1"</f>
        <v>#N/A</v>
      </c>
      <c r="J6" s="721"/>
      <c r="K6" s="721"/>
      <c r="L6" s="744" t="s">
        <v>402</v>
      </c>
      <c r="M6" s="12"/>
      <c r="P6" s="1264">
        <v>1</v>
      </c>
      <c r="Q6" s="120"/>
      <c r="R6" s="206"/>
      <c r="S6" s="698" t="e">
        <f>$I6</f>
        <v>#N/A</v>
      </c>
      <c r="T6" s="162" t="s">
        <v>403</v>
      </c>
      <c r="U6" s="169"/>
      <c r="V6" s="1254"/>
      <c r="W6" s="1255"/>
      <c r="X6" s="1255"/>
      <c r="Y6" s="1255"/>
      <c r="Z6" s="1255"/>
      <c r="AA6" s="1255"/>
      <c r="AB6" s="1255"/>
      <c r="AC6" s="1256"/>
      <c r="AD6" s="1254"/>
      <c r="AE6" s="1255"/>
      <c r="AF6" s="1255"/>
      <c r="AG6" s="1255"/>
      <c r="AH6" s="1255"/>
      <c r="AI6" s="1255"/>
      <c r="AJ6" s="1255"/>
      <c r="AK6" s="1255"/>
      <c r="AL6" s="1256"/>
      <c r="AM6" s="718" t="s">
        <v>404</v>
      </c>
      <c r="AO6" s="69"/>
      <c r="AP6" s="69" t="str">
        <f t="shared" si="0"/>
        <v>Схема подключения теплопотребляющей установки к коллектору источника тепловой энергии</v>
      </c>
      <c r="AQ6" s="69"/>
      <c r="AR6" s="69"/>
    </row>
    <row r="7" spans="1:44" ht="21" hidden="1" customHeight="1">
      <c r="A7" s="721"/>
      <c r="B7" s="721"/>
      <c r="C7" s="721"/>
      <c r="D7" s="721"/>
      <c r="E7" s="1290"/>
      <c r="F7" s="1290"/>
      <c r="G7" s="1290"/>
      <c r="H7" s="1290"/>
      <c r="I7" s="1117"/>
      <c r="J7" s="1146" t="e">
        <f>I6&amp;".1"</f>
        <v>#N/A</v>
      </c>
      <c r="K7" s="721"/>
      <c r="L7" s="744" t="s">
        <v>405</v>
      </c>
      <c r="M7" s="12"/>
      <c r="N7" s="12"/>
      <c r="P7" s="1264"/>
      <c r="Q7" s="1264">
        <v>1</v>
      </c>
      <c r="R7" s="207"/>
      <c r="S7" s="698" t="e">
        <f>$J7</f>
        <v>#N/A</v>
      </c>
      <c r="T7" s="163" t="s">
        <v>406</v>
      </c>
      <c r="U7" s="169"/>
      <c r="V7" s="1254"/>
      <c r="W7" s="1255"/>
      <c r="X7" s="1255"/>
      <c r="Y7" s="1255"/>
      <c r="Z7" s="1255"/>
      <c r="AA7" s="1255"/>
      <c r="AB7" s="1255"/>
      <c r="AC7" s="1256"/>
      <c r="AD7" s="1254"/>
      <c r="AE7" s="1255"/>
      <c r="AF7" s="1255"/>
      <c r="AG7" s="1255"/>
      <c r="AH7" s="1255"/>
      <c r="AI7" s="1255"/>
      <c r="AJ7" s="1255"/>
      <c r="AK7" s="1255"/>
      <c r="AL7" s="1256"/>
      <c r="AM7" s="718" t="s">
        <v>407</v>
      </c>
      <c r="AO7" s="69"/>
      <c r="AP7" s="69" t="str">
        <f t="shared" si="0"/>
        <v>Группа потребителей</v>
      </c>
      <c r="AQ7" s="69"/>
      <c r="AR7" s="69"/>
    </row>
    <row r="8" spans="1:44" ht="21" hidden="1" customHeight="1">
      <c r="A8" s="721"/>
      <c r="B8" s="721"/>
      <c r="C8" s="721"/>
      <c r="D8" s="721"/>
      <c r="E8" s="1290"/>
      <c r="F8" s="1290"/>
      <c r="G8" s="1290"/>
      <c r="H8" s="1290"/>
      <c r="I8" s="1117"/>
      <c r="J8" s="1117"/>
      <c r="K8" s="1146" t="e">
        <f>J7&amp;".1"</f>
        <v>#N/A</v>
      </c>
      <c r="L8" s="744" t="s">
        <v>408</v>
      </c>
      <c r="M8" s="12"/>
      <c r="N8" s="12"/>
      <c r="O8" s="12"/>
      <c r="P8" s="1264"/>
      <c r="Q8" s="1264"/>
      <c r="R8" s="207">
        <v>1</v>
      </c>
      <c r="S8" s="698" t="e">
        <f>$K8</f>
        <v>#N/A</v>
      </c>
      <c r="T8" s="755"/>
      <c r="U8" s="169"/>
      <c r="V8" s="304"/>
      <c r="W8" s="189"/>
      <c r="X8" s="304"/>
      <c r="Y8" s="717"/>
      <c r="Z8" s="1268"/>
      <c r="AA8" s="1127" t="s">
        <v>62</v>
      </c>
      <c r="AB8" s="1268"/>
      <c r="AC8" s="1127" t="s">
        <v>62</v>
      </c>
      <c r="AD8" s="304"/>
      <c r="AE8" s="189"/>
      <c r="AF8" s="304"/>
      <c r="AG8" s="717"/>
      <c r="AH8" s="1268"/>
      <c r="AI8" s="1127" t="s">
        <v>62</v>
      </c>
      <c r="AJ8" s="1268"/>
      <c r="AK8" s="1127" t="s">
        <v>62</v>
      </c>
      <c r="AL8" s="189"/>
      <c r="AM8" s="1260" t="s">
        <v>409</v>
      </c>
      <c r="AN8" s="68" t="e">
        <f ca="1">STRCHECKDATE(V9:AL9)</f>
        <v>#NAME?</v>
      </c>
      <c r="AO8" s="69"/>
      <c r="AP8" s="69" t="str">
        <f t="shared" si="0"/>
        <v/>
      </c>
      <c r="AQ8" s="69"/>
      <c r="AR8" s="69"/>
    </row>
    <row r="9" spans="1:44" ht="0.75" hidden="1" customHeight="1">
      <c r="A9" s="721"/>
      <c r="B9" s="721"/>
      <c r="C9" s="721"/>
      <c r="D9" s="721"/>
      <c r="E9" s="1290"/>
      <c r="F9" s="1290"/>
      <c r="G9" s="1290"/>
      <c r="H9" s="1290"/>
      <c r="I9" s="1117"/>
      <c r="J9" s="1117"/>
      <c r="K9" s="1146"/>
      <c r="L9" s="744"/>
      <c r="M9" s="12"/>
      <c r="N9" s="12"/>
      <c r="O9" s="12"/>
      <c r="P9" s="1264"/>
      <c r="Q9" s="1264"/>
      <c r="R9" s="207"/>
      <c r="S9" s="65"/>
      <c r="T9" s="169"/>
      <c r="U9" s="169"/>
      <c r="V9" s="189"/>
      <c r="W9" s="189"/>
      <c r="X9" s="189"/>
      <c r="Y9" s="190" t="str">
        <f>Z8&amp;"-"&amp;AB8</f>
        <v>-</v>
      </c>
      <c r="Z9" s="1269"/>
      <c r="AA9" s="1127"/>
      <c r="AB9" s="1269"/>
      <c r="AC9" s="1127"/>
      <c r="AD9" s="189"/>
      <c r="AE9" s="189"/>
      <c r="AF9" s="189"/>
      <c r="AG9" s="190" t="str">
        <f>AH8&amp;"-"&amp;AJ8</f>
        <v>-</v>
      </c>
      <c r="AH9" s="1269"/>
      <c r="AI9" s="1127"/>
      <c r="AJ9" s="1269"/>
      <c r="AK9" s="1127"/>
      <c r="AL9" s="189"/>
      <c r="AM9" s="1261"/>
      <c r="AO9" s="69"/>
      <c r="AP9" s="69" t="str">
        <f t="shared" si="0"/>
        <v/>
      </c>
      <c r="AQ9" s="69"/>
      <c r="AR9" s="69"/>
    </row>
    <row r="10" spans="1:44" ht="15" hidden="1" customHeight="1">
      <c r="A10" s="721"/>
      <c r="B10" s="721"/>
      <c r="C10" s="721"/>
      <c r="D10" s="721"/>
      <c r="E10" s="1290"/>
      <c r="F10" s="1290"/>
      <c r="G10" s="1290"/>
      <c r="H10" s="1290"/>
      <c r="I10" s="1117"/>
      <c r="J10" s="1146"/>
      <c r="K10" s="721"/>
      <c r="L10" s="744"/>
      <c r="M10" s="12"/>
      <c r="N10" s="12"/>
      <c r="P10" s="1264"/>
      <c r="Q10" s="1264"/>
      <c r="R10" s="206"/>
      <c r="S10" s="732"/>
      <c r="T10" s="165" t="s">
        <v>410</v>
      </c>
      <c r="U10" s="211"/>
      <c r="V10" s="211"/>
      <c r="W10" s="211"/>
      <c r="X10" s="211"/>
      <c r="Y10" s="211"/>
      <c r="Z10" s="211"/>
      <c r="AA10" s="211"/>
      <c r="AB10" s="211"/>
      <c r="AC10" s="211"/>
      <c r="AD10" s="211"/>
      <c r="AE10" s="211"/>
      <c r="AF10" s="211"/>
      <c r="AG10" s="211"/>
      <c r="AH10" s="211"/>
      <c r="AI10" s="211"/>
      <c r="AJ10" s="211"/>
      <c r="AK10" s="211"/>
      <c r="AL10" s="188"/>
      <c r="AM10" s="1262"/>
      <c r="AO10" s="69"/>
      <c r="AP10" s="69" t="str">
        <f t="shared" si="0"/>
        <v>Добавить вид теплоносителя (параметры теплоносителя)</v>
      </c>
      <c r="AQ10" s="69"/>
      <c r="AR10" s="69"/>
    </row>
    <row r="11" spans="1:44" ht="15" hidden="1" customHeight="1">
      <c r="A11" s="721"/>
      <c r="B11" s="721"/>
      <c r="C11" s="721"/>
      <c r="D11" s="721"/>
      <c r="E11" s="1290"/>
      <c r="F11" s="1290"/>
      <c r="G11" s="1290"/>
      <c r="H11" s="1290"/>
      <c r="I11" s="1146"/>
      <c r="J11" s="721"/>
      <c r="K11" s="721"/>
      <c r="L11" s="744"/>
      <c r="M11" s="12"/>
      <c r="P11" s="1264"/>
      <c r="Q11" s="120"/>
      <c r="R11" s="206"/>
      <c r="S11" s="732"/>
      <c r="T11" s="164" t="s">
        <v>411</v>
      </c>
      <c r="U11" s="211"/>
      <c r="V11" s="211"/>
      <c r="W11" s="211"/>
      <c r="X11" s="211"/>
      <c r="Y11" s="211"/>
      <c r="Z11" s="211"/>
      <c r="AA11" s="211"/>
      <c r="AB11" s="211"/>
      <c r="AC11" s="210"/>
      <c r="AD11" s="211"/>
      <c r="AE11" s="211"/>
      <c r="AF11" s="211"/>
      <c r="AG11" s="211"/>
      <c r="AH11" s="211"/>
      <c r="AI11" s="211"/>
      <c r="AJ11" s="211"/>
      <c r="AK11" s="210"/>
      <c r="AL11" s="211"/>
      <c r="AM11" s="172"/>
      <c r="AO11" s="69"/>
      <c r="AP11" s="69" t="str">
        <f t="shared" si="0"/>
        <v>Добавить группу потребителей</v>
      </c>
      <c r="AQ11" s="69"/>
      <c r="AR11" s="69"/>
    </row>
    <row r="12" spans="1:44" ht="14.25" hidden="1" customHeight="1">
      <c r="A12" s="721"/>
      <c r="B12" s="721"/>
      <c r="C12" s="721"/>
      <c r="D12" s="721"/>
      <c r="E12" s="1290"/>
      <c r="F12" s="1290"/>
      <c r="G12" s="1290"/>
      <c r="H12" s="1289"/>
      <c r="I12" s="721"/>
      <c r="J12" s="721"/>
      <c r="K12" s="721"/>
      <c r="L12" s="744"/>
      <c r="M12" s="334"/>
      <c r="N12" s="334"/>
      <c r="O12" s="12"/>
      <c r="P12" s="35"/>
      <c r="Q12" s="214"/>
      <c r="R12" s="205"/>
      <c r="S12" s="732"/>
      <c r="T12" s="209" t="s">
        <v>412</v>
      </c>
      <c r="U12" s="211"/>
      <c r="V12" s="211"/>
      <c r="W12" s="211"/>
      <c r="X12" s="211"/>
      <c r="Y12" s="211"/>
      <c r="Z12" s="211"/>
      <c r="AA12" s="211"/>
      <c r="AB12" s="211"/>
      <c r="AC12" s="210"/>
      <c r="AD12" s="211"/>
      <c r="AE12" s="211"/>
      <c r="AF12" s="211"/>
      <c r="AG12" s="211"/>
      <c r="AH12" s="211"/>
      <c r="AI12" s="211"/>
      <c r="AJ12" s="211"/>
      <c r="AK12" s="210"/>
      <c r="AL12" s="211"/>
      <c r="AM12" s="172"/>
      <c r="AO12" s="69"/>
      <c r="AP12" s="69" t="str">
        <f t="shared" si="0"/>
        <v>Добавить схему подключения</v>
      </c>
      <c r="AQ12" s="69"/>
      <c r="AR12" s="69"/>
    </row>
    <row r="13" spans="1:44" s="68" customFormat="1" ht="0.75" hidden="1" customHeight="1">
      <c r="A13" s="721"/>
      <c r="B13" s="721"/>
      <c r="C13" s="721"/>
      <c r="D13" s="721"/>
      <c r="E13" s="1290"/>
      <c r="F13" s="1290"/>
      <c r="G13" s="1289"/>
      <c r="H13" s="721"/>
      <c r="I13" s="721"/>
      <c r="J13" s="721"/>
      <c r="K13" s="721"/>
      <c r="L13" s="744"/>
      <c r="M13" s="334"/>
      <c r="N13" s="334"/>
      <c r="O13" s="12"/>
      <c r="P13" s="102"/>
      <c r="Q13" s="745"/>
      <c r="R13" s="102"/>
      <c r="S13" s="746"/>
      <c r="T13" s="747" t="s">
        <v>413</v>
      </c>
      <c r="U13" s="748"/>
      <c r="V13" s="748"/>
      <c r="W13" s="748"/>
      <c r="X13" s="748"/>
      <c r="Y13" s="748"/>
      <c r="Z13" s="748"/>
      <c r="AA13" s="748"/>
      <c r="AB13" s="748"/>
      <c r="AC13" s="748"/>
      <c r="AD13" s="748"/>
      <c r="AE13" s="748"/>
      <c r="AF13" s="748"/>
      <c r="AG13" s="748"/>
      <c r="AH13" s="748"/>
      <c r="AI13" s="748"/>
      <c r="AJ13" s="748"/>
      <c r="AK13" s="748"/>
      <c r="AL13" s="748"/>
      <c r="AM13" s="748"/>
      <c r="AO13" s="69"/>
      <c r="AP13" s="69" t="str">
        <f t="shared" si="0"/>
        <v>Добавить источник для дифференциации</v>
      </c>
      <c r="AQ13" s="69"/>
      <c r="AR13" s="69"/>
    </row>
    <row r="14" spans="1:44" s="68" customFormat="1" ht="0.75" hidden="1" customHeight="1">
      <c r="A14" s="721"/>
      <c r="B14" s="721"/>
      <c r="C14" s="721"/>
      <c r="D14" s="721"/>
      <c r="E14" s="1290"/>
      <c r="F14" s="1289"/>
      <c r="G14" s="721"/>
      <c r="H14" s="721"/>
      <c r="I14" s="721"/>
      <c r="J14" s="721"/>
      <c r="K14" s="721"/>
      <c r="L14" s="744"/>
      <c r="M14" s="1041"/>
      <c r="N14" s="1041"/>
      <c r="O14" s="12"/>
      <c r="P14" s="102"/>
      <c r="Q14" s="745"/>
      <c r="R14" s="102"/>
      <c r="S14" s="750"/>
      <c r="T14" s="751" t="s">
        <v>414</v>
      </c>
      <c r="U14" s="311"/>
      <c r="V14" s="311"/>
      <c r="W14" s="311"/>
      <c r="X14" s="311"/>
      <c r="Y14" s="311"/>
      <c r="Z14" s="311"/>
      <c r="AA14" s="311"/>
      <c r="AB14" s="311"/>
      <c r="AC14" s="311"/>
      <c r="AD14" s="311"/>
      <c r="AE14" s="311"/>
      <c r="AF14" s="311"/>
      <c r="AG14" s="311"/>
      <c r="AH14" s="311"/>
      <c r="AI14" s="311"/>
      <c r="AJ14" s="311"/>
      <c r="AK14" s="311"/>
      <c r="AL14" s="311"/>
      <c r="AM14" s="311"/>
      <c r="AO14" s="69"/>
      <c r="AP14" s="69" t="str">
        <f t="shared" si="0"/>
        <v>Добавить централизованную систему для дифференциации</v>
      </c>
      <c r="AQ14" s="69"/>
      <c r="AR14" s="69"/>
    </row>
    <row r="15" spans="1:44" s="68" customFormat="1" ht="0.75" hidden="1" customHeight="1">
      <c r="A15" s="721"/>
      <c r="B15" s="721"/>
      <c r="C15" s="721"/>
      <c r="D15" s="721"/>
      <c r="E15" s="1289"/>
      <c r="F15" s="721"/>
      <c r="G15" s="721"/>
      <c r="H15" s="721"/>
      <c r="I15" s="721"/>
      <c r="J15" s="721"/>
      <c r="K15" s="721"/>
      <c r="L15" s="744"/>
      <c r="M15" s="1041"/>
      <c r="N15" s="1041"/>
      <c r="O15" s="12"/>
      <c r="P15" s="102"/>
      <c r="Q15" s="745"/>
      <c r="R15" s="102"/>
      <c r="S15" s="750"/>
      <c r="T15" s="752" t="s">
        <v>415</v>
      </c>
      <c r="U15" s="311"/>
      <c r="V15" s="311"/>
      <c r="W15" s="311"/>
      <c r="X15" s="311"/>
      <c r="Y15" s="311"/>
      <c r="Z15" s="311"/>
      <c r="AA15" s="311"/>
      <c r="AB15" s="311"/>
      <c r="AC15" s="311"/>
      <c r="AD15" s="311"/>
      <c r="AE15" s="311"/>
      <c r="AF15" s="311"/>
      <c r="AG15" s="311"/>
      <c r="AH15" s="311"/>
      <c r="AI15" s="311"/>
      <c r="AJ15" s="311"/>
      <c r="AK15" s="311"/>
      <c r="AL15" s="311"/>
      <c r="AM15" s="311"/>
      <c r="AO15" s="69"/>
      <c r="AP15" s="69" t="str">
        <f t="shared" si="0"/>
        <v>Добавить территорию для дифференциации</v>
      </c>
      <c r="AQ15" s="69"/>
      <c r="AR15" s="69"/>
    </row>
    <row r="16" spans="1:44" ht="14.25" hidden="1" customHeight="1"/>
    <row r="17" spans="1:44" ht="14.25" hidden="1" customHeight="1">
      <c r="AD17" s="359"/>
      <c r="AE17" s="359"/>
      <c r="AF17" s="359"/>
      <c r="AG17" s="758"/>
      <c r="AH17" s="1270"/>
      <c r="AI17" s="1271" t="s">
        <v>62</v>
      </c>
      <c r="AJ17" s="1270"/>
      <c r="AK17" s="1271" t="s">
        <v>62</v>
      </c>
    </row>
    <row r="18" spans="1:44" ht="14.25" hidden="1" customHeight="1">
      <c r="AD18" s="359"/>
      <c r="AE18" s="359"/>
      <c r="AF18" s="359"/>
      <c r="AG18" s="190" t="str">
        <f>AH17&amp;"-"&amp;AJ17</f>
        <v>-</v>
      </c>
      <c r="AH18" s="1271"/>
      <c r="AI18" s="1271"/>
      <c r="AJ18" s="1271"/>
      <c r="AK18" s="1271"/>
    </row>
    <row r="19" spans="1:44" ht="14.25" hidden="1" customHeight="1"/>
    <row r="20" spans="1:44" s="63" customFormat="1" ht="14.25" hidden="1" customHeight="1">
      <c r="A20" s="12"/>
      <c r="B20" s="12"/>
      <c r="C20" s="12"/>
      <c r="D20" s="12"/>
      <c r="E20" s="12"/>
      <c r="F20" s="12"/>
      <c r="G20" s="12"/>
      <c r="H20" s="12"/>
      <c r="I20" s="12"/>
      <c r="J20" s="12"/>
      <c r="K20" s="12"/>
      <c r="L20" s="59"/>
      <c r="M20" s="34"/>
      <c r="N20" s="34"/>
      <c r="O20" s="754" t="s">
        <v>416</v>
      </c>
      <c r="P20" s="497"/>
      <c r="Q20" s="762"/>
      <c r="R20" s="762"/>
      <c r="S20" s="417"/>
      <c r="Z20" s="761"/>
      <c r="AB20" s="761"/>
      <c r="AH20" s="761"/>
      <c r="AJ20" s="761"/>
      <c r="AN20" s="68"/>
      <c r="AO20" s="68"/>
      <c r="AP20" s="68"/>
      <c r="AQ20" s="68"/>
      <c r="AR20" s="68"/>
    </row>
    <row r="21" spans="1:44" s="63" customFormat="1" ht="14.25" hidden="1" customHeight="1">
      <c r="A21" s="12"/>
      <c r="B21" s="12"/>
      <c r="C21" s="12"/>
      <c r="D21" s="12"/>
      <c r="E21" s="12"/>
      <c r="F21" s="12"/>
      <c r="G21" s="12"/>
      <c r="H21" s="12"/>
      <c r="I21" s="12"/>
      <c r="J21" s="12"/>
      <c r="K21" s="12"/>
      <c r="L21" s="59"/>
      <c r="M21" s="34"/>
      <c r="N21" s="34"/>
      <c r="O21" s="34"/>
      <c r="P21" s="497"/>
      <c r="Q21" s="762"/>
      <c r="R21" s="762"/>
      <c r="S21" s="417"/>
      <c r="AN21" s="68"/>
      <c r="AO21" s="68"/>
      <c r="AP21" s="68"/>
      <c r="AQ21" s="68"/>
      <c r="AR21" s="68"/>
    </row>
    <row r="22" spans="1:44" s="63" customFormat="1" ht="14.25" hidden="1" customHeight="1">
      <c r="A22" s="12"/>
      <c r="B22" s="12"/>
      <c r="C22" s="12"/>
      <c r="D22" s="12"/>
      <c r="E22" s="12"/>
      <c r="F22" s="12"/>
      <c r="G22" s="12"/>
      <c r="H22" s="12"/>
      <c r="I22" s="12"/>
      <c r="J22" s="12"/>
      <c r="K22" s="12"/>
      <c r="L22" s="59"/>
      <c r="M22" s="34"/>
      <c r="N22" s="34"/>
      <c r="O22" s="744" t="s">
        <v>417</v>
      </c>
      <c r="P22" s="497"/>
      <c r="Q22" s="762"/>
      <c r="R22" s="762"/>
      <c r="S22" s="417"/>
      <c r="T22" s="63" t="s">
        <v>418</v>
      </c>
      <c r="AA22" s="81" t="s">
        <v>419</v>
      </c>
      <c r="AC22" s="81" t="s">
        <v>420</v>
      </c>
      <c r="AD22" s="63" t="s">
        <v>418</v>
      </c>
      <c r="AI22" s="81" t="s">
        <v>421</v>
      </c>
      <c r="AK22" s="81" t="s">
        <v>420</v>
      </c>
      <c r="AN22" s="68"/>
      <c r="AO22" s="68"/>
      <c r="AP22" s="68"/>
      <c r="AQ22" s="68"/>
      <c r="AR22" s="68"/>
    </row>
    <row r="23" spans="1:44" ht="14.25" hidden="1" customHeight="1">
      <c r="O23" s="744"/>
    </row>
    <row r="24" spans="1:44" ht="14.25" hidden="1" customHeight="1">
      <c r="O24" s="744"/>
    </row>
    <row r="25" spans="1:44" ht="14.25" customHeight="1">
      <c r="Q25" s="29"/>
      <c r="R25" s="29"/>
      <c r="S25" s="729"/>
      <c r="T25" s="11"/>
      <c r="U25" s="11"/>
    </row>
    <row r="26" spans="1:44" ht="14.25" customHeight="1">
      <c r="Q26" s="29"/>
      <c r="R26" s="29"/>
      <c r="S26" s="1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49"/>
      <c r="U26" s="1249"/>
      <c r="V26" s="1249"/>
      <c r="W26" s="1249"/>
      <c r="X26" s="1249"/>
      <c r="Y26" s="1249"/>
      <c r="Z26" s="1249"/>
      <c r="AA26" s="1249"/>
      <c r="AB26" s="1249"/>
      <c r="AC26" s="1249"/>
      <c r="AD26" s="1249"/>
      <c r="AE26" s="1249"/>
      <c r="AF26" s="1249"/>
      <c r="AG26" s="1249"/>
      <c r="AH26" s="1249"/>
      <c r="AI26" s="1249"/>
      <c r="AJ26" s="1249"/>
      <c r="AK26" s="60"/>
    </row>
    <row r="27" spans="1:44" ht="14.25" customHeight="1">
      <c r="Q27" s="29"/>
      <c r="R27" s="29"/>
      <c r="S27" s="1194" t="str">
        <f>IF(org=0,"Не определено",org)</f>
        <v>АО "ХТК"</v>
      </c>
      <c r="T27" s="1194"/>
      <c r="U27" s="1194"/>
      <c r="V27" s="1194"/>
      <c r="W27" s="1194"/>
      <c r="X27" s="1194"/>
      <c r="Y27" s="1194"/>
      <c r="Z27" s="1194"/>
      <c r="AA27" s="1194"/>
      <c r="AB27" s="1194"/>
      <c r="AC27" s="1194"/>
      <c r="AD27" s="1194"/>
      <c r="AE27" s="1194"/>
      <c r="AF27" s="1194"/>
      <c r="AG27" s="1194"/>
      <c r="AH27" s="1194"/>
      <c r="AI27" s="1194"/>
      <c r="AJ27" s="1194"/>
      <c r="AK27" s="60"/>
    </row>
    <row r="28" spans="1:44" ht="14.25" hidden="1" customHeight="1">
      <c r="Q28" s="29"/>
      <c r="R28" s="29"/>
      <c r="S28" s="729"/>
      <c r="T28" s="11"/>
      <c r="U28" s="11"/>
      <c r="V28" s="187"/>
      <c r="W28" s="187"/>
      <c r="X28" s="187"/>
      <c r="Y28" s="187"/>
      <c r="Z28" s="187"/>
      <c r="AA28" s="187"/>
      <c r="AB28" s="187"/>
      <c r="AC28" s="187"/>
      <c r="AD28" s="187"/>
      <c r="AE28" s="187"/>
      <c r="AF28" s="187"/>
      <c r="AG28" s="187"/>
      <c r="AH28" s="187"/>
      <c r="AI28" s="187"/>
      <c r="AJ28" s="187"/>
      <c r="AK28" s="187"/>
    </row>
    <row r="29" spans="1:44" s="36" customFormat="1" ht="25.5" hidden="1" customHeight="1">
      <c r="A29" s="18"/>
      <c r="B29" s="18"/>
      <c r="C29" s="18"/>
      <c r="D29" s="18"/>
      <c r="E29" s="18"/>
      <c r="F29" s="18"/>
      <c r="G29" s="18"/>
      <c r="H29" s="18"/>
      <c r="I29" s="18"/>
      <c r="J29" s="18"/>
      <c r="K29" s="18"/>
      <c r="L29" s="744"/>
      <c r="M29" s="18"/>
      <c r="N29" s="18"/>
      <c r="O29" s="18"/>
      <c r="S29" s="1257" t="s">
        <v>37</v>
      </c>
      <c r="T29" s="1257"/>
      <c r="U29" s="763"/>
      <c r="V29" s="1258" t="str">
        <f>IF(TITLE_NAME_OR_PR_CHANGE="",IF(TITLE_NAME_OR_PR="","",TITLE_NAME_OR_PR),TITLE_NAME_OR_PR_CHANGE)</f>
        <v/>
      </c>
      <c r="W29" s="1258"/>
      <c r="X29" s="1258"/>
      <c r="Y29" s="1258"/>
      <c r="Z29" s="1258"/>
      <c r="AA29" s="1258"/>
      <c r="AB29" s="1258"/>
      <c r="AC29" s="12"/>
      <c r="AD29" s="1258" t="str">
        <f>IF(TITLE_NAME_OR_PR_CHANGE="",IF(TITLE_NAME_OR_PR="","",TITLE_NAME_OR_PR),TITLE_NAME_OR_PR_CHANGE)</f>
        <v/>
      </c>
      <c r="AE29" s="1258"/>
      <c r="AF29" s="1258"/>
      <c r="AG29" s="1258"/>
      <c r="AH29" s="1258"/>
      <c r="AI29" s="1258"/>
      <c r="AJ29" s="1258"/>
      <c r="AK29" s="12"/>
      <c r="AL29" s="12"/>
      <c r="AM29" s="161"/>
      <c r="AN29" s="69"/>
      <c r="AO29" s="69"/>
      <c r="AP29" s="69"/>
      <c r="AQ29" s="69"/>
      <c r="AR29" s="69"/>
    </row>
    <row r="30" spans="1:44" s="36" customFormat="1" ht="18.75" hidden="1" customHeight="1">
      <c r="A30" s="18"/>
      <c r="B30" s="18"/>
      <c r="C30" s="18"/>
      <c r="D30" s="18"/>
      <c r="E30" s="18"/>
      <c r="F30" s="18"/>
      <c r="G30" s="18"/>
      <c r="H30" s="18"/>
      <c r="I30" s="18"/>
      <c r="J30" s="18"/>
      <c r="K30" s="18"/>
      <c r="L30" s="744"/>
      <c r="M30" s="18"/>
      <c r="N30" s="18"/>
      <c r="O30" s="18"/>
      <c r="S30" s="1257" t="s">
        <v>422</v>
      </c>
      <c r="T30" s="1257"/>
      <c r="U30" s="763"/>
      <c r="V30" s="1267" t="str">
        <f>IF(TITLE_DATE_PR_CHANGE="",IF(TITLE_DATE_PR="","",TITLE_DATE_PR),TITLE_DATE_PR_CHANGE)</f>
        <v/>
      </c>
      <c r="W30" s="1267"/>
      <c r="X30" s="1267"/>
      <c r="Y30" s="1267"/>
      <c r="Z30" s="1267"/>
      <c r="AA30" s="1267"/>
      <c r="AB30" s="1267"/>
      <c r="AC30" s="12"/>
      <c r="AD30" s="1267" t="str">
        <f>IF(TITLE_DATE_PR_CHANGE="",IF(TITLE_DATE_PR="","",TITLE_DATE_PR),TITLE_DATE_PR_CHANGE)</f>
        <v/>
      </c>
      <c r="AE30" s="1267"/>
      <c r="AF30" s="1267"/>
      <c r="AG30" s="1267"/>
      <c r="AH30" s="1267"/>
      <c r="AI30" s="1267"/>
      <c r="AJ30" s="1267"/>
      <c r="AK30" s="12"/>
      <c r="AL30" s="12"/>
      <c r="AM30" s="161"/>
      <c r="AN30" s="69"/>
      <c r="AO30" s="69"/>
      <c r="AP30" s="69"/>
      <c r="AQ30" s="69"/>
      <c r="AR30" s="69"/>
    </row>
    <row r="31" spans="1:44" s="36" customFormat="1" ht="18.75" hidden="1" customHeight="1">
      <c r="A31" s="18"/>
      <c r="B31" s="18"/>
      <c r="C31" s="18"/>
      <c r="D31" s="18"/>
      <c r="E31" s="18"/>
      <c r="F31" s="18"/>
      <c r="G31" s="18"/>
      <c r="H31" s="18"/>
      <c r="I31" s="18"/>
      <c r="J31" s="18"/>
      <c r="K31" s="18"/>
      <c r="L31" s="744"/>
      <c r="M31" s="18"/>
      <c r="N31" s="18"/>
      <c r="O31" s="18"/>
      <c r="S31" s="1257" t="s">
        <v>423</v>
      </c>
      <c r="T31" s="1257"/>
      <c r="U31" s="763"/>
      <c r="V31" s="1258" t="str">
        <f>IF(TITLE_NUMBER_PR_CHANGE="",IF(TITLE_NUMBER_PR="","",TITLE_NUMBER_PR),TITLE_NUMBER_PR_CHANGE)</f>
        <v/>
      </c>
      <c r="W31" s="1258"/>
      <c r="X31" s="1258"/>
      <c r="Y31" s="1258"/>
      <c r="Z31" s="1258"/>
      <c r="AA31" s="1258"/>
      <c r="AB31" s="1258"/>
      <c r="AC31" s="12"/>
      <c r="AD31" s="1258" t="str">
        <f>IF(TITLE_NUMBER_PR_CHANGE="",IF(TITLE_NUMBER_PR="","",TITLE_NUMBER_PR),TITLE_NUMBER_PR_CHANGE)</f>
        <v/>
      </c>
      <c r="AE31" s="1258"/>
      <c r="AF31" s="1258"/>
      <c r="AG31" s="1258"/>
      <c r="AH31" s="1258"/>
      <c r="AI31" s="1258"/>
      <c r="AJ31" s="1258"/>
      <c r="AK31" s="12"/>
      <c r="AL31" s="12"/>
      <c r="AM31" s="161"/>
      <c r="AN31" s="69"/>
      <c r="AO31" s="69"/>
      <c r="AP31" s="69"/>
      <c r="AQ31" s="69"/>
      <c r="AR31" s="69"/>
    </row>
    <row r="32" spans="1:44" s="36" customFormat="1" ht="18.75" hidden="1" customHeight="1">
      <c r="A32" s="18"/>
      <c r="B32" s="18"/>
      <c r="C32" s="18"/>
      <c r="D32" s="18"/>
      <c r="E32" s="18"/>
      <c r="F32" s="18"/>
      <c r="G32" s="18"/>
      <c r="H32" s="18"/>
      <c r="I32" s="18"/>
      <c r="J32" s="18"/>
      <c r="K32" s="18"/>
      <c r="L32" s="744"/>
      <c r="M32" s="18"/>
      <c r="N32" s="18"/>
      <c r="O32" s="18"/>
      <c r="S32" s="1257" t="s">
        <v>38</v>
      </c>
      <c r="T32" s="1257"/>
      <c r="U32" s="763"/>
      <c r="V32" s="1258" t="str">
        <f>IF(TITLE_IST_PUB_CHANGE="",IF(TITLE_IST_PUB="","",TITLE_IST_PUB),TITLE_IST_PUB_CHANGE)</f>
        <v/>
      </c>
      <c r="W32" s="1258"/>
      <c r="X32" s="1258"/>
      <c r="Y32" s="1258"/>
      <c r="Z32" s="1258"/>
      <c r="AA32" s="1258"/>
      <c r="AB32" s="1258"/>
      <c r="AC32" s="12"/>
      <c r="AD32" s="1258" t="str">
        <f>IF(TITLE_IST_PUB_CHANGE="",IF(TITLE_IST_PUB="","",TITLE_IST_PUB),TITLE_IST_PUB_CHANGE)</f>
        <v/>
      </c>
      <c r="AE32" s="1258"/>
      <c r="AF32" s="1258"/>
      <c r="AG32" s="1258"/>
      <c r="AH32" s="1258"/>
      <c r="AI32" s="1258"/>
      <c r="AJ32" s="1258"/>
      <c r="AK32" s="12"/>
      <c r="AL32" s="12"/>
      <c r="AM32" s="161"/>
      <c r="AN32" s="69"/>
      <c r="AO32" s="69"/>
      <c r="AP32" s="69"/>
      <c r="AQ32" s="69"/>
      <c r="AR32" s="69"/>
    </row>
    <row r="33" spans="1:44" ht="14.25" hidden="1" customHeight="1">
      <c r="Q33" s="29"/>
      <c r="R33" s="29"/>
      <c r="S33" s="729"/>
      <c r="T33" s="11"/>
      <c r="U33" s="11"/>
      <c r="V33" s="187"/>
      <c r="W33" s="187"/>
      <c r="X33" s="187"/>
      <c r="Y33" s="187"/>
      <c r="Z33" s="187"/>
      <c r="AA33" s="187"/>
      <c r="AB33" s="187"/>
      <c r="AC33" s="187"/>
      <c r="AD33" s="187"/>
      <c r="AE33" s="187"/>
      <c r="AF33" s="187"/>
      <c r="AG33" s="187"/>
      <c r="AH33" s="187"/>
      <c r="AI33" s="187"/>
      <c r="AJ33" s="187"/>
      <c r="AK33" s="187"/>
    </row>
    <row r="34" spans="1:44" s="36" customFormat="1" ht="18.75" hidden="1" customHeight="1">
      <c r="A34" s="18"/>
      <c r="B34" s="18"/>
      <c r="C34" s="18"/>
      <c r="D34" s="18"/>
      <c r="E34" s="18"/>
      <c r="F34" s="18"/>
      <c r="G34" s="18"/>
      <c r="H34" s="18"/>
      <c r="I34" s="18"/>
      <c r="J34" s="18"/>
      <c r="K34" s="18"/>
      <c r="L34" s="744"/>
      <c r="M34" s="18"/>
      <c r="N34" s="18"/>
      <c r="O34" s="18"/>
      <c r="S34" s="1257" t="s">
        <v>424</v>
      </c>
      <c r="T34" s="1257"/>
      <c r="U34" s="763"/>
      <c r="V34" s="1267" t="str">
        <f>IF(TITLE_DATE_PR_CHANGE="",IF(TITLE_DATE_PR="","",TITLE_DATE_PR),TITLE_DATE_PR_CHANGE)</f>
        <v/>
      </c>
      <c r="W34" s="1267"/>
      <c r="X34" s="1267"/>
      <c r="Y34" s="1267"/>
      <c r="Z34" s="1267"/>
      <c r="AA34" s="1267"/>
      <c r="AB34" s="1267"/>
      <c r="AC34" s="12"/>
      <c r="AD34" s="1267" t="str">
        <f>IF(TITLE_DATE_PR_CHANGE="",IF(TITLE_DATE_PR="","",TITLE_DATE_PR),TITLE_DATE_PR_CHANGE)</f>
        <v/>
      </c>
      <c r="AE34" s="1267"/>
      <c r="AF34" s="1267"/>
      <c r="AG34" s="1267"/>
      <c r="AH34" s="1267"/>
      <c r="AI34" s="1267"/>
      <c r="AJ34" s="1267"/>
      <c r="AK34" s="12"/>
      <c r="AL34" s="12"/>
      <c r="AM34" s="161"/>
      <c r="AN34" s="69"/>
      <c r="AO34" s="69"/>
      <c r="AP34" s="69"/>
      <c r="AQ34" s="69"/>
      <c r="AR34" s="69"/>
    </row>
    <row r="35" spans="1:44" s="36" customFormat="1" ht="18.75" hidden="1" customHeight="1">
      <c r="A35" s="18"/>
      <c r="B35" s="18"/>
      <c r="C35" s="18"/>
      <c r="D35" s="18"/>
      <c r="E35" s="18"/>
      <c r="F35" s="18"/>
      <c r="G35" s="18"/>
      <c r="H35" s="18"/>
      <c r="I35" s="18"/>
      <c r="J35" s="18"/>
      <c r="K35" s="18"/>
      <c r="L35" s="744"/>
      <c r="M35" s="18"/>
      <c r="N35" s="18"/>
      <c r="O35" s="18"/>
      <c r="S35" s="1257" t="s">
        <v>425</v>
      </c>
      <c r="T35" s="1257"/>
      <c r="U35" s="763"/>
      <c r="V35" s="1258" t="str">
        <f>IF(TITLE_NUMBER_PR_CHANGE="",IF(TITLE_NUMBER_PR="","",TITLE_NUMBER_PR),TITLE_NUMBER_PR_CHANGE)</f>
        <v/>
      </c>
      <c r="W35" s="1258"/>
      <c r="X35" s="1258"/>
      <c r="Y35" s="1258"/>
      <c r="Z35" s="1258"/>
      <c r="AA35" s="1258"/>
      <c r="AB35" s="1258"/>
      <c r="AC35" s="12"/>
      <c r="AD35" s="1258" t="str">
        <f>IF(TITLE_NUMBER_PR_CHANGE="",IF(TITLE_NUMBER_PR="","",TITLE_NUMBER_PR),TITLE_NUMBER_PR_CHANGE)</f>
        <v/>
      </c>
      <c r="AE35" s="1258"/>
      <c r="AF35" s="1258"/>
      <c r="AG35" s="1258"/>
      <c r="AH35" s="1258"/>
      <c r="AI35" s="1258"/>
      <c r="AJ35" s="1258"/>
      <c r="AK35" s="12"/>
      <c r="AL35" s="12"/>
      <c r="AM35" s="161"/>
      <c r="AN35" s="69"/>
      <c r="AO35" s="69"/>
      <c r="AP35" s="69"/>
      <c r="AQ35" s="69"/>
      <c r="AR35" s="69"/>
    </row>
    <row r="36" spans="1:44" s="36" customFormat="1" ht="0" hidden="1" customHeight="1">
      <c r="A36" s="18"/>
      <c r="B36" s="18"/>
      <c r="C36" s="18"/>
      <c r="D36" s="18"/>
      <c r="E36" s="18"/>
      <c r="F36" s="18"/>
      <c r="G36" s="18"/>
      <c r="H36" s="18"/>
      <c r="I36" s="18"/>
      <c r="J36" s="18"/>
      <c r="K36" s="18"/>
      <c r="L36" s="744"/>
      <c r="M36" s="18"/>
      <c r="N36" s="18"/>
      <c r="O36" s="18"/>
      <c r="S36" s="12"/>
      <c r="T36" s="12"/>
      <c r="U36" s="77"/>
      <c r="V36" s="12"/>
      <c r="W36" s="12"/>
      <c r="X36" s="12"/>
      <c r="Y36" s="12"/>
      <c r="Z36" s="12"/>
      <c r="AA36" s="12"/>
      <c r="AB36" s="12"/>
      <c r="AC36" s="68" t="s">
        <v>426</v>
      </c>
      <c r="AD36" s="12"/>
      <c r="AE36" s="12"/>
      <c r="AF36" s="12"/>
      <c r="AG36" s="12"/>
      <c r="AH36" s="12"/>
      <c r="AI36" s="12"/>
      <c r="AJ36" s="12"/>
      <c r="AK36" s="68" t="s">
        <v>426</v>
      </c>
      <c r="AN36" s="69"/>
      <c r="AO36" s="69"/>
      <c r="AP36" s="69"/>
      <c r="AQ36" s="69"/>
      <c r="AR36" s="69"/>
    </row>
    <row r="37" spans="1:44" ht="14.25" customHeight="1">
      <c r="Q37" s="29"/>
      <c r="R37" s="29"/>
      <c r="S37" s="729"/>
      <c r="T37" s="11"/>
      <c r="U37" s="709"/>
      <c r="V37" s="1259"/>
      <c r="W37" s="1259"/>
      <c r="X37" s="1259"/>
      <c r="Y37" s="1259"/>
      <c r="Z37" s="1259"/>
      <c r="AA37" s="1259"/>
      <c r="AB37" s="1259"/>
      <c r="AC37" s="1259"/>
      <c r="AD37" s="1259"/>
      <c r="AE37" s="1259"/>
      <c r="AF37" s="1259"/>
      <c r="AG37" s="1259"/>
      <c r="AH37" s="1259"/>
      <c r="AI37" s="1259"/>
      <c r="AJ37" s="1259"/>
      <c r="AK37" s="1259"/>
    </row>
    <row r="38" spans="1:44" ht="14.25" customHeight="1">
      <c r="Q38" s="29"/>
      <c r="R38" s="29"/>
      <c r="S38" s="1146" t="s">
        <v>299</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300</v>
      </c>
    </row>
    <row r="39" spans="1:44" ht="14.25" customHeight="1">
      <c r="Q39" s="29"/>
      <c r="R39" s="29"/>
      <c r="S39" s="1273" t="s">
        <v>84</v>
      </c>
      <c r="T39" s="1224" t="s">
        <v>427</v>
      </c>
      <c r="U39" s="170"/>
      <c r="V39" s="1274" t="s">
        <v>428</v>
      </c>
      <c r="W39" s="1275"/>
      <c r="X39" s="1275"/>
      <c r="Y39" s="1275"/>
      <c r="Z39" s="1275"/>
      <c r="AA39" s="1275"/>
      <c r="AB39" s="1276"/>
      <c r="AC39" s="1277" t="s">
        <v>429</v>
      </c>
      <c r="AD39" s="1274" t="s">
        <v>428</v>
      </c>
      <c r="AE39" s="1275"/>
      <c r="AF39" s="1275"/>
      <c r="AG39" s="1275"/>
      <c r="AH39" s="1275"/>
      <c r="AI39" s="1275"/>
      <c r="AJ39" s="1276"/>
      <c r="AK39" s="1277" t="s">
        <v>430</v>
      </c>
      <c r="AL39" s="1280" t="s">
        <v>431</v>
      </c>
      <c r="AM39" s="1146"/>
    </row>
    <row r="40" spans="1:44" ht="33.75" customHeight="1">
      <c r="Q40" s="29"/>
      <c r="R40" s="29"/>
      <c r="S40" s="1273"/>
      <c r="T40" s="1224"/>
      <c r="U40" s="595"/>
      <c r="V40" s="1193" t="s">
        <v>432</v>
      </c>
      <c r="W40" s="1283" t="s">
        <v>433</v>
      </c>
      <c r="X40" s="1117" t="s">
        <v>434</v>
      </c>
      <c r="Y40" s="1116"/>
      <c r="Z40" s="1117" t="s">
        <v>448</v>
      </c>
      <c r="AA40" s="1122"/>
      <c r="AB40" s="1116"/>
      <c r="AC40" s="1278"/>
      <c r="AD40" s="1193" t="s">
        <v>432</v>
      </c>
      <c r="AE40" s="1283" t="s">
        <v>433</v>
      </c>
      <c r="AF40" s="1117" t="s">
        <v>434</v>
      </c>
      <c r="AG40" s="1116"/>
      <c r="AH40" s="1117" t="s">
        <v>435</v>
      </c>
      <c r="AI40" s="1122"/>
      <c r="AJ40" s="1116"/>
      <c r="AK40" s="1278"/>
      <c r="AL40" s="1281"/>
      <c r="AM40" s="1146"/>
    </row>
    <row r="41" spans="1:44" ht="33.75" customHeight="1">
      <c r="A41" s="18"/>
      <c r="B41" s="18" t="s">
        <v>136</v>
      </c>
      <c r="C41" s="18" t="s">
        <v>137</v>
      </c>
      <c r="D41" s="18" t="s">
        <v>138</v>
      </c>
      <c r="E41" s="744" t="s">
        <v>436</v>
      </c>
      <c r="F41" s="744" t="s">
        <v>437</v>
      </c>
      <c r="G41" s="744" t="s">
        <v>438</v>
      </c>
      <c r="H41" s="744" t="s">
        <v>439</v>
      </c>
      <c r="I41" s="744" t="s">
        <v>440</v>
      </c>
      <c r="J41" s="744" t="s">
        <v>441</v>
      </c>
      <c r="K41" s="744" t="s">
        <v>442</v>
      </c>
      <c r="L41" s="744" t="s">
        <v>417</v>
      </c>
      <c r="Q41" s="29"/>
      <c r="R41" s="29"/>
      <c r="S41" s="1273"/>
      <c r="T41" s="1224"/>
      <c r="U41" s="171"/>
      <c r="V41" s="1244"/>
      <c r="W41" s="1284"/>
      <c r="X41" s="40" t="s">
        <v>443</v>
      </c>
      <c r="Y41" s="40" t="s">
        <v>444</v>
      </c>
      <c r="Z41" s="40" t="s">
        <v>445</v>
      </c>
      <c r="AA41" s="1233" t="s">
        <v>446</v>
      </c>
      <c r="AB41" s="1235"/>
      <c r="AC41" s="1279"/>
      <c r="AD41" s="1244"/>
      <c r="AE41" s="1284"/>
      <c r="AF41" s="40" t="s">
        <v>443</v>
      </c>
      <c r="AG41" s="40" t="s">
        <v>444</v>
      </c>
      <c r="AH41" s="40" t="s">
        <v>445</v>
      </c>
      <c r="AI41" s="1233" t="s">
        <v>446</v>
      </c>
      <c r="AJ41" s="1235"/>
      <c r="AK41" s="1279"/>
      <c r="AL41" s="1282"/>
      <c r="AM41" s="1146"/>
    </row>
    <row r="42" spans="1:44" s="201" customFormat="1" ht="11.25" hidden="1" customHeight="1">
      <c r="A42" s="18"/>
      <c r="B42" s="18"/>
      <c r="C42" s="18"/>
      <c r="D42" s="18"/>
      <c r="E42" s="18"/>
      <c r="F42" s="18"/>
      <c r="G42" s="18"/>
      <c r="H42" s="18"/>
      <c r="I42" s="18"/>
      <c r="J42" s="18"/>
      <c r="K42" s="18"/>
      <c r="L42" s="744"/>
      <c r="M42" s="34"/>
      <c r="N42" s="34"/>
      <c r="O42" s="34"/>
      <c r="P42" s="711"/>
      <c r="Q42" s="712"/>
      <c r="R42" s="714">
        <v>1</v>
      </c>
      <c r="S42" s="731" t="s">
        <v>105</v>
      </c>
      <c r="T42" s="715" t="s">
        <v>106</v>
      </c>
      <c r="U42" s="710" t="str">
        <f ca="1">OFFSET(U42,0,-1)</f>
        <v>2</v>
      </c>
      <c r="V42" s="716">
        <f ca="1">OFFSET(V42,0,-1)+1</f>
        <v>3</v>
      </c>
      <c r="W42" s="716"/>
      <c r="X42" s="716">
        <f ca="1">OFFSET(X42,0,-1)+1</f>
        <v>1</v>
      </c>
      <c r="Y42" s="716">
        <f ca="1">OFFSET(Y42,0,-1)+1</f>
        <v>2</v>
      </c>
      <c r="Z42" s="716">
        <f ca="1">OFFSET(Z42,0,-1)+1</f>
        <v>3</v>
      </c>
      <c r="AA42" s="1272">
        <f ca="1">OFFSET(AA42,0,-1)+1</f>
        <v>4</v>
      </c>
      <c r="AB42" s="1272"/>
      <c r="AC42" s="716">
        <f ca="1">OFFSET(AC42,0,-2)+1</f>
        <v>5</v>
      </c>
      <c r="AD42" s="716">
        <f ca="1">OFFSET(AD42,0,-1)+1</f>
        <v>6</v>
      </c>
      <c r="AE42" s="716"/>
      <c r="AF42" s="716">
        <f ca="1">OFFSET(AF42,0,-1)+1</f>
        <v>1</v>
      </c>
      <c r="AG42" s="716">
        <f ca="1">OFFSET(AG42,0,-1)+1</f>
        <v>2</v>
      </c>
      <c r="AH42" s="716">
        <f ca="1">OFFSET(AH42,0,-1)+1</f>
        <v>3</v>
      </c>
      <c r="AI42" s="1272">
        <f ca="1">OFFSET(AI42,0,-1)+1</f>
        <v>4</v>
      </c>
      <c r="AJ42" s="1272"/>
      <c r="AK42" s="716">
        <f ca="1">OFFSET(AK42,0,-2)+1</f>
        <v>5</v>
      </c>
      <c r="AL42" s="710">
        <f ca="1">OFFSET(AL42,0,-1)</f>
        <v>5</v>
      </c>
      <c r="AM42" s="716">
        <f ca="1">OFFSET(AM42,0,-1)+1</f>
        <v>6</v>
      </c>
      <c r="AN42" s="68"/>
      <c r="AO42" s="68"/>
      <c r="AP42" s="68"/>
      <c r="AQ42" s="68"/>
      <c r="AR42" s="68"/>
    </row>
    <row r="43" spans="1:44" ht="21" customHeight="1">
      <c r="A43" s="721" t="s">
        <v>211</v>
      </c>
      <c r="B43" s="721"/>
      <c r="C43" s="721"/>
      <c r="D43" s="721"/>
      <c r="E43" s="1289">
        <v>1</v>
      </c>
      <c r="F43" s="721"/>
      <c r="G43" s="721"/>
      <c r="H43" s="721"/>
      <c r="I43" s="721"/>
      <c r="J43" s="721"/>
      <c r="K43" s="721"/>
      <c r="L43" s="744"/>
      <c r="M43" s="334"/>
      <c r="N43" s="334"/>
      <c r="O43" s="334"/>
      <c r="Q43" s="35"/>
      <c r="R43" s="205"/>
      <c r="S43" s="698">
        <f>INDEX(PT_DIFFERENTIATION_NUM_NTAR,MATCH(A43,PT_DIFFERENTIATION_NTAR_ID,0))</f>
        <v>0</v>
      </c>
      <c r="T43" s="67" t="s">
        <v>124</v>
      </c>
      <c r="U43" s="169"/>
      <c r="V43" s="1251"/>
      <c r="W43" s="1252"/>
      <c r="X43" s="1252"/>
      <c r="Y43" s="1252"/>
      <c r="Z43" s="1252"/>
      <c r="AA43" s="1252"/>
      <c r="AB43" s="1252"/>
      <c r="AC43" s="1253"/>
      <c r="AD43" s="1251" t="str">
        <f>INDEX(PT_DIFFERENTIATION_NTAR,MATCH(A43,PT_DIFFERENTIATION_NTAR_ID,0))</f>
        <v/>
      </c>
      <c r="AE43" s="1252"/>
      <c r="AF43" s="1252"/>
      <c r="AG43" s="1252"/>
      <c r="AH43" s="1252"/>
      <c r="AI43" s="1252"/>
      <c r="AJ43" s="1252"/>
      <c r="AK43" s="1252"/>
      <c r="AL43" s="1253"/>
      <c r="AM43" s="71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row>
    <row r="44" spans="1:44" ht="21" customHeight="1">
      <c r="A44" s="721" t="s">
        <v>211</v>
      </c>
      <c r="B44" s="721" t="s">
        <v>212</v>
      </c>
      <c r="C44" s="721"/>
      <c r="D44" s="721"/>
      <c r="E44" s="1290"/>
      <c r="F44" s="1289">
        <v>1</v>
      </c>
      <c r="G44" s="721"/>
      <c r="H44" s="721"/>
      <c r="I44" s="721"/>
      <c r="J44" s="721"/>
      <c r="K44" s="721"/>
      <c r="L44" s="744"/>
      <c r="M44" s="334"/>
      <c r="N44" s="334"/>
      <c r="O44" s="334"/>
      <c r="P44" s="59"/>
      <c r="Q44" s="202"/>
      <c r="R44" s="203"/>
      <c r="S44" s="698" t="str">
        <f>INDEX(PT_DIFFERENTIATION_NUM_TER,MATCH(B44,PT_DIFFERENTIATION_TER_ID,0))</f>
        <v>.</v>
      </c>
      <c r="T44" s="175" t="s">
        <v>396</v>
      </c>
      <c r="U44" s="169"/>
      <c r="V44" s="1251"/>
      <c r="W44" s="1252"/>
      <c r="X44" s="1252"/>
      <c r="Y44" s="1252"/>
      <c r="Z44" s="1252"/>
      <c r="AA44" s="1252"/>
      <c r="AB44" s="1252"/>
      <c r="AC44" s="1253"/>
      <c r="AD44" s="1251" t="str">
        <f>INDEX(PT_DIFFERENTIATION_TER,MATCH(B44,PT_DIFFERENTIATION_TER_ID,0))</f>
        <v/>
      </c>
      <c r="AE44" s="1252"/>
      <c r="AF44" s="1252"/>
      <c r="AG44" s="1252"/>
      <c r="AH44" s="1252"/>
      <c r="AI44" s="1252"/>
      <c r="AJ44" s="1252"/>
      <c r="AK44" s="1252"/>
      <c r="AL44" s="1253"/>
      <c r="AM44" s="718" t="s">
        <v>397</v>
      </c>
      <c r="AO44" s="69"/>
      <c r="AP44" s="69" t="str">
        <f t="shared" si="1"/>
        <v>Территория действия тарифа</v>
      </c>
      <c r="AQ44" s="69"/>
      <c r="AR44" s="69"/>
    </row>
    <row r="45" spans="1:44" ht="23.25" customHeight="1">
      <c r="A45" s="721" t="s">
        <v>211</v>
      </c>
      <c r="B45" s="721" t="s">
        <v>212</v>
      </c>
      <c r="C45" s="721" t="s">
        <v>213</v>
      </c>
      <c r="D45" s="721"/>
      <c r="E45" s="1290"/>
      <c r="F45" s="1290"/>
      <c r="G45" s="1289">
        <v>1</v>
      </c>
      <c r="H45" s="721"/>
      <c r="I45" s="721"/>
      <c r="J45" s="721"/>
      <c r="K45" s="721"/>
      <c r="L45" s="744"/>
      <c r="M45" s="334"/>
      <c r="N45" s="334"/>
      <c r="O45" s="334"/>
      <c r="P45" s="204"/>
      <c r="Q45" s="202"/>
      <c r="R45" s="203"/>
      <c r="S45" s="698" t="str">
        <f>INDEX(PT_DIFFERENTIATION_NUM_CS,MATCH(C45,PT_DIFFERENTIATION_CS_ID,0))</f>
        <v>..</v>
      </c>
      <c r="T45" s="176" t="s">
        <v>398</v>
      </c>
      <c r="U45" s="169"/>
      <c r="V45" s="1251"/>
      <c r="W45" s="1252"/>
      <c r="X45" s="1252"/>
      <c r="Y45" s="1252"/>
      <c r="Z45" s="1252"/>
      <c r="AA45" s="1252"/>
      <c r="AB45" s="1252"/>
      <c r="AC45" s="1253"/>
      <c r="AD45" s="1251" t="str">
        <f>INDEX(PT_DIFFERENTIATION_CS,MATCH(C45,PT_DIFFERENTIATION_CS_ID,0))</f>
        <v/>
      </c>
      <c r="AE45" s="1252"/>
      <c r="AF45" s="1252"/>
      <c r="AG45" s="1252"/>
      <c r="AH45" s="1252"/>
      <c r="AI45" s="1252"/>
      <c r="AJ45" s="1252"/>
      <c r="AK45" s="1252"/>
      <c r="AL45" s="1253"/>
      <c r="AM45" s="718" t="s">
        <v>399</v>
      </c>
      <c r="AO45" s="69"/>
      <c r="AP45" s="69" t="str">
        <f t="shared" si="1"/>
        <v xml:space="preserve">Наименование системы теплоснабжения </v>
      </c>
      <c r="AQ45" s="69"/>
      <c r="AR45" s="69"/>
    </row>
    <row r="46" spans="1:44" ht="21" customHeight="1">
      <c r="A46" s="721" t="s">
        <v>211</v>
      </c>
      <c r="B46" s="721" t="s">
        <v>212</v>
      </c>
      <c r="C46" s="721" t="s">
        <v>213</v>
      </c>
      <c r="D46" s="721" t="s">
        <v>214</v>
      </c>
      <c r="E46" s="1290"/>
      <c r="F46" s="1290"/>
      <c r="G46" s="1290"/>
      <c r="H46" s="1289">
        <v>1</v>
      </c>
      <c r="I46" s="721"/>
      <c r="J46" s="721"/>
      <c r="K46" s="721"/>
      <c r="L46" s="744"/>
      <c r="M46" s="334"/>
      <c r="N46" s="334"/>
      <c r="O46" s="334"/>
      <c r="P46" s="204"/>
      <c r="Q46" s="202"/>
      <c r="R46" s="203"/>
      <c r="S46" s="698" t="str">
        <f>INDEX(PT_DIFFERENTIATION_NUM_IST_TE,MATCH(D46,PT_DIFFERENTIATION_IST_TE_ID,0))</f>
        <v>...</v>
      </c>
      <c r="T46" s="177" t="s">
        <v>400</v>
      </c>
      <c r="U46" s="169"/>
      <c r="V46" s="1251"/>
      <c r="W46" s="1252"/>
      <c r="X46" s="1252"/>
      <c r="Y46" s="1252"/>
      <c r="Z46" s="1252"/>
      <c r="AA46" s="1252"/>
      <c r="AB46" s="1252"/>
      <c r="AC46" s="1253"/>
      <c r="AD46" s="1251" t="str">
        <f>INDEX(PT_DIFFERENTIATION_IST_TE,MATCH(D46,PT_DIFFERENTIATION_IST_TE_ID,0))</f>
        <v/>
      </c>
      <c r="AE46" s="1252"/>
      <c r="AF46" s="1252"/>
      <c r="AG46" s="1252"/>
      <c r="AH46" s="1252"/>
      <c r="AI46" s="1252"/>
      <c r="AJ46" s="1252"/>
      <c r="AK46" s="1252"/>
      <c r="AL46" s="1253"/>
      <c r="AM46" s="718" t="s">
        <v>401</v>
      </c>
      <c r="AO46" s="69"/>
      <c r="AP46" s="69" t="str">
        <f t="shared" si="1"/>
        <v xml:space="preserve">Источник тепловой энергии  </v>
      </c>
      <c r="AQ46" s="69"/>
      <c r="AR46" s="69"/>
    </row>
    <row r="47" spans="1:44" ht="47.25" customHeight="1">
      <c r="A47" s="721" t="s">
        <v>211</v>
      </c>
      <c r="B47" s="721" t="s">
        <v>212</v>
      </c>
      <c r="C47" s="721" t="s">
        <v>213</v>
      </c>
      <c r="D47" s="721" t="s">
        <v>214</v>
      </c>
      <c r="E47" s="1290"/>
      <c r="F47" s="1290"/>
      <c r="G47" s="1290"/>
      <c r="H47" s="1290"/>
      <c r="I47" s="1146" t="str">
        <f>S46&amp;".1"</f>
        <v>....1</v>
      </c>
      <c r="J47" s="721"/>
      <c r="K47" s="721"/>
      <c r="L47" s="744" t="s">
        <v>402</v>
      </c>
      <c r="P47" s="1264">
        <v>1</v>
      </c>
      <c r="Q47" s="120"/>
      <c r="R47" s="206"/>
      <c r="S47" s="698" t="str">
        <f>$I47</f>
        <v>....1</v>
      </c>
      <c r="T47" s="162" t="s">
        <v>403</v>
      </c>
      <c r="U47" s="169"/>
      <c r="V47" s="1254"/>
      <c r="W47" s="1255"/>
      <c r="X47" s="1255"/>
      <c r="Y47" s="1255"/>
      <c r="Z47" s="1255"/>
      <c r="AA47" s="1255"/>
      <c r="AB47" s="1255"/>
      <c r="AC47" s="1256"/>
      <c r="AD47" s="1254"/>
      <c r="AE47" s="1255"/>
      <c r="AF47" s="1255"/>
      <c r="AG47" s="1255"/>
      <c r="AH47" s="1255"/>
      <c r="AI47" s="1255"/>
      <c r="AJ47" s="1255"/>
      <c r="AK47" s="1255"/>
      <c r="AL47" s="1256"/>
      <c r="AM47" s="718" t="s">
        <v>404</v>
      </c>
      <c r="AO47" s="69"/>
      <c r="AP47" s="69" t="str">
        <f t="shared" si="1"/>
        <v>Схема подключения теплопотребляющей установки к коллектору источника тепловой энергии</v>
      </c>
      <c r="AQ47" s="69"/>
      <c r="AR47" s="69"/>
    </row>
    <row r="48" spans="1:44" ht="21" customHeight="1">
      <c r="A48" s="721" t="s">
        <v>211</v>
      </c>
      <c r="B48" s="721" t="s">
        <v>212</v>
      </c>
      <c r="C48" s="721" t="s">
        <v>213</v>
      </c>
      <c r="D48" s="721" t="s">
        <v>214</v>
      </c>
      <c r="E48" s="1290"/>
      <c r="F48" s="1290"/>
      <c r="G48" s="1290"/>
      <c r="H48" s="1290"/>
      <c r="I48" s="1117"/>
      <c r="J48" s="1146" t="str">
        <f>I47&amp;".1"</f>
        <v>....1.1</v>
      </c>
      <c r="K48" s="721"/>
      <c r="L48" s="744" t="s">
        <v>405</v>
      </c>
      <c r="P48" s="1264"/>
      <c r="Q48" s="1264">
        <v>1</v>
      </c>
      <c r="R48" s="207"/>
      <c r="S48" s="698" t="str">
        <f>$J48</f>
        <v>....1.1</v>
      </c>
      <c r="T48" s="163" t="s">
        <v>406</v>
      </c>
      <c r="U48" s="169"/>
      <c r="V48" s="1254"/>
      <c r="W48" s="1255"/>
      <c r="X48" s="1255"/>
      <c r="Y48" s="1255"/>
      <c r="Z48" s="1255"/>
      <c r="AA48" s="1255"/>
      <c r="AB48" s="1255"/>
      <c r="AC48" s="1256"/>
      <c r="AD48" s="1254"/>
      <c r="AE48" s="1255"/>
      <c r="AF48" s="1255"/>
      <c r="AG48" s="1255"/>
      <c r="AH48" s="1255"/>
      <c r="AI48" s="1255"/>
      <c r="AJ48" s="1255"/>
      <c r="AK48" s="1255"/>
      <c r="AL48" s="1256"/>
      <c r="AM48" s="718" t="s">
        <v>407</v>
      </c>
      <c r="AO48" s="69"/>
      <c r="AP48" s="69" t="str">
        <f t="shared" si="1"/>
        <v>Группа потребителей</v>
      </c>
      <c r="AQ48" s="69"/>
      <c r="AR48" s="69"/>
    </row>
    <row r="49" spans="1:44" ht="21" customHeight="1">
      <c r="A49" s="721" t="s">
        <v>211</v>
      </c>
      <c r="B49" s="721" t="s">
        <v>212</v>
      </c>
      <c r="C49" s="721" t="s">
        <v>213</v>
      </c>
      <c r="D49" s="721" t="s">
        <v>214</v>
      </c>
      <c r="E49" s="1290"/>
      <c r="F49" s="1290"/>
      <c r="G49" s="1290"/>
      <c r="H49" s="1290"/>
      <c r="I49" s="1117"/>
      <c r="J49" s="1117"/>
      <c r="K49" s="1146" t="str">
        <f>J48&amp;".1"</f>
        <v>....1.1.1</v>
      </c>
      <c r="L49" s="744" t="s">
        <v>408</v>
      </c>
      <c r="P49" s="1264"/>
      <c r="Q49" s="1264"/>
      <c r="R49" s="207">
        <v>1</v>
      </c>
      <c r="S49" s="698" t="str">
        <f>$K49</f>
        <v>....1.1.1</v>
      </c>
      <c r="T49" s="755"/>
      <c r="U49" s="169"/>
      <c r="V49" s="304"/>
      <c r="W49" s="189"/>
      <c r="X49" s="304"/>
      <c r="Y49" s="717"/>
      <c r="Z49" s="1268"/>
      <c r="AA49" s="1127" t="s">
        <v>62</v>
      </c>
      <c r="AB49" s="1268"/>
      <c r="AC49" s="1127" t="s">
        <v>62</v>
      </c>
      <c r="AD49" s="304"/>
      <c r="AE49" s="189"/>
      <c r="AF49" s="304"/>
      <c r="AG49" s="717"/>
      <c r="AH49" s="1268"/>
      <c r="AI49" s="1127" t="s">
        <v>62</v>
      </c>
      <c r="AJ49" s="1287"/>
      <c r="AK49" s="1127" t="s">
        <v>62</v>
      </c>
      <c r="AL49" s="756"/>
      <c r="AM49" s="1260" t="s">
        <v>409</v>
      </c>
      <c r="AN49" s="68" t="e">
        <f ca="1">STRCHECKDATE(V50:AL50)</f>
        <v>#NAME?</v>
      </c>
      <c r="AO49" s="69"/>
      <c r="AP49" s="69" t="str">
        <f t="shared" si="1"/>
        <v/>
      </c>
      <c r="AQ49" s="69"/>
      <c r="AR49" s="69"/>
    </row>
    <row r="50" spans="1:44" ht="0.75" customHeight="1">
      <c r="A50" s="721" t="s">
        <v>211</v>
      </c>
      <c r="B50" s="721" t="s">
        <v>212</v>
      </c>
      <c r="C50" s="721" t="s">
        <v>213</v>
      </c>
      <c r="D50" s="721" t="s">
        <v>214</v>
      </c>
      <c r="E50" s="1290"/>
      <c r="F50" s="1290"/>
      <c r="G50" s="1290"/>
      <c r="H50" s="1290"/>
      <c r="I50" s="1117"/>
      <c r="J50" s="1117"/>
      <c r="K50" s="1146"/>
      <c r="L50" s="744"/>
      <c r="P50" s="1264"/>
      <c r="Q50" s="1264"/>
      <c r="R50" s="207"/>
      <c r="S50" s="65"/>
      <c r="T50" s="169"/>
      <c r="U50" s="169"/>
      <c r="V50" s="189"/>
      <c r="W50" s="189"/>
      <c r="X50" s="189"/>
      <c r="Y50" s="190" t="str">
        <f>Z49&amp;"-"&amp;AB49</f>
        <v>-</v>
      </c>
      <c r="Z50" s="1269"/>
      <c r="AA50" s="1127"/>
      <c r="AB50" s="1269"/>
      <c r="AC50" s="1127"/>
      <c r="AD50" s="189"/>
      <c r="AE50" s="189"/>
      <c r="AF50" s="189"/>
      <c r="AG50" s="190" t="str">
        <f>AH49&amp;"-"&amp;AJ49</f>
        <v>-</v>
      </c>
      <c r="AH50" s="1269"/>
      <c r="AI50" s="1127"/>
      <c r="AJ50" s="1288"/>
      <c r="AK50" s="1127"/>
      <c r="AL50" s="757"/>
      <c r="AM50" s="1261"/>
      <c r="AO50" s="69"/>
      <c r="AP50" s="69" t="str">
        <f t="shared" si="1"/>
        <v/>
      </c>
      <c r="AQ50" s="69"/>
      <c r="AR50" s="69"/>
    </row>
    <row r="51" spans="1:44" ht="11.25" customHeight="1">
      <c r="A51" s="721" t="s">
        <v>211</v>
      </c>
      <c r="B51" s="721" t="s">
        <v>212</v>
      </c>
      <c r="C51" s="721" t="s">
        <v>213</v>
      </c>
      <c r="D51" s="721" t="s">
        <v>214</v>
      </c>
      <c r="E51" s="1290"/>
      <c r="F51" s="1290"/>
      <c r="G51" s="1290"/>
      <c r="H51" s="1290"/>
      <c r="I51" s="1117"/>
      <c r="J51" s="1146"/>
      <c r="K51" s="721"/>
      <c r="L51" s="744"/>
      <c r="P51" s="1264"/>
      <c r="Q51" s="1264"/>
      <c r="R51" s="206"/>
      <c r="S51" s="732"/>
      <c r="T51" s="165" t="s">
        <v>410</v>
      </c>
      <c r="U51" s="211"/>
      <c r="V51" s="211"/>
      <c r="W51" s="211"/>
      <c r="X51" s="211"/>
      <c r="Y51" s="211"/>
      <c r="Z51" s="211"/>
      <c r="AA51" s="211"/>
      <c r="AB51" s="211"/>
      <c r="AC51" s="211"/>
      <c r="AD51" s="211"/>
      <c r="AE51" s="211"/>
      <c r="AF51" s="211"/>
      <c r="AG51" s="211"/>
      <c r="AH51" s="211"/>
      <c r="AI51" s="211"/>
      <c r="AJ51" s="211"/>
      <c r="AK51" s="211"/>
      <c r="AL51" s="188"/>
      <c r="AM51" s="1262"/>
      <c r="AO51" s="69"/>
      <c r="AP51" s="69" t="str">
        <f t="shared" si="1"/>
        <v>Добавить вид теплоносителя (параметры теплоносителя)</v>
      </c>
      <c r="AQ51" s="69"/>
      <c r="AR51" s="69"/>
    </row>
    <row r="52" spans="1:44" ht="11.25" customHeight="1">
      <c r="A52" s="721" t="s">
        <v>211</v>
      </c>
      <c r="B52" s="721" t="s">
        <v>212</v>
      </c>
      <c r="C52" s="721" t="s">
        <v>213</v>
      </c>
      <c r="D52" s="721" t="s">
        <v>214</v>
      </c>
      <c r="E52" s="1290"/>
      <c r="F52" s="1290"/>
      <c r="G52" s="1290"/>
      <c r="H52" s="1290"/>
      <c r="I52" s="1146"/>
      <c r="J52" s="721"/>
      <c r="K52" s="721"/>
      <c r="L52" s="744"/>
      <c r="P52" s="1264"/>
      <c r="Q52" s="120"/>
      <c r="R52" s="206"/>
      <c r="S52" s="732"/>
      <c r="T52" s="164" t="s">
        <v>411</v>
      </c>
      <c r="U52" s="211"/>
      <c r="V52" s="211"/>
      <c r="W52" s="211"/>
      <c r="X52" s="211"/>
      <c r="Y52" s="211"/>
      <c r="Z52" s="211"/>
      <c r="AA52" s="211"/>
      <c r="AB52" s="211"/>
      <c r="AC52" s="210"/>
      <c r="AD52" s="211"/>
      <c r="AE52" s="211"/>
      <c r="AF52" s="211"/>
      <c r="AG52" s="211"/>
      <c r="AH52" s="211"/>
      <c r="AI52" s="211"/>
      <c r="AJ52" s="211"/>
      <c r="AK52" s="210"/>
      <c r="AL52" s="211"/>
      <c r="AM52" s="172"/>
      <c r="AO52" s="69"/>
      <c r="AP52" s="69" t="str">
        <f t="shared" si="1"/>
        <v>Добавить группу потребителей</v>
      </c>
      <c r="AQ52" s="69"/>
      <c r="AR52" s="69"/>
    </row>
    <row r="53" spans="1:44" ht="14.25" customHeight="1">
      <c r="A53" s="721" t="s">
        <v>211</v>
      </c>
      <c r="B53" s="721" t="s">
        <v>212</v>
      </c>
      <c r="C53" s="721" t="s">
        <v>213</v>
      </c>
      <c r="D53" s="721" t="s">
        <v>214</v>
      </c>
      <c r="E53" s="1290"/>
      <c r="F53" s="1290"/>
      <c r="G53" s="1290"/>
      <c r="H53" s="1289"/>
      <c r="I53" s="721"/>
      <c r="J53" s="721"/>
      <c r="K53" s="721"/>
      <c r="L53" s="744"/>
      <c r="M53" s="334"/>
      <c r="N53" s="334"/>
      <c r="O53" s="12"/>
      <c r="P53" s="35"/>
      <c r="Q53" s="214"/>
      <c r="R53" s="205"/>
      <c r="S53" s="732"/>
      <c r="T53" s="209" t="s">
        <v>412</v>
      </c>
      <c r="U53" s="211"/>
      <c r="V53" s="211"/>
      <c r="W53" s="211"/>
      <c r="X53" s="211"/>
      <c r="Y53" s="211"/>
      <c r="Z53" s="211"/>
      <c r="AA53" s="211"/>
      <c r="AB53" s="211"/>
      <c r="AC53" s="210"/>
      <c r="AD53" s="211"/>
      <c r="AE53" s="211"/>
      <c r="AF53" s="211"/>
      <c r="AG53" s="211"/>
      <c r="AH53" s="211"/>
      <c r="AI53" s="211"/>
      <c r="AJ53" s="211"/>
      <c r="AK53" s="210"/>
      <c r="AL53" s="211"/>
      <c r="AM53" s="172"/>
      <c r="AO53" s="69"/>
      <c r="AP53" s="69" t="str">
        <f t="shared" si="1"/>
        <v>Добавить схему подключения</v>
      </c>
      <c r="AQ53" s="69"/>
      <c r="AR53" s="69"/>
    </row>
    <row r="54" spans="1:44" s="68" customFormat="1" ht="0.75" customHeight="1">
      <c r="A54" s="721" t="s">
        <v>211</v>
      </c>
      <c r="B54" s="721" t="s">
        <v>212</v>
      </c>
      <c r="C54" s="721" t="s">
        <v>213</v>
      </c>
      <c r="D54" s="721"/>
      <c r="E54" s="1290"/>
      <c r="F54" s="1290"/>
      <c r="G54" s="1289"/>
      <c r="H54" s="721"/>
      <c r="I54" s="721"/>
      <c r="J54" s="721"/>
      <c r="K54" s="721"/>
      <c r="L54" s="744"/>
      <c r="M54" s="334"/>
      <c r="N54" s="334"/>
      <c r="O54" s="12"/>
      <c r="P54" s="102"/>
      <c r="Q54" s="745"/>
      <c r="R54" s="102"/>
      <c r="S54" s="750"/>
      <c r="T54" s="752" t="s">
        <v>413</v>
      </c>
      <c r="U54" s="311"/>
      <c r="V54" s="311"/>
      <c r="W54" s="311"/>
      <c r="X54" s="311"/>
      <c r="Y54" s="311"/>
      <c r="Z54" s="311"/>
      <c r="AA54" s="311"/>
      <c r="AB54" s="311"/>
      <c r="AC54" s="311"/>
      <c r="AD54" s="311"/>
      <c r="AE54" s="311"/>
      <c r="AF54" s="311"/>
      <c r="AG54" s="311"/>
      <c r="AH54" s="311"/>
      <c r="AI54" s="311"/>
      <c r="AJ54" s="311"/>
      <c r="AK54" s="311"/>
      <c r="AL54" s="311"/>
      <c r="AM54" s="311"/>
      <c r="AO54" s="69"/>
      <c r="AP54" s="69" t="str">
        <f t="shared" si="1"/>
        <v>Добавить источник для дифференциации</v>
      </c>
      <c r="AQ54" s="69"/>
      <c r="AR54" s="69"/>
    </row>
    <row r="55" spans="1:44" s="68" customFormat="1" ht="0.75" customHeight="1">
      <c r="A55" s="721" t="s">
        <v>211</v>
      </c>
      <c r="B55" s="721" t="s">
        <v>212</v>
      </c>
      <c r="C55" s="721"/>
      <c r="D55" s="721"/>
      <c r="E55" s="1290"/>
      <c r="F55" s="1289"/>
      <c r="G55" s="721"/>
      <c r="H55" s="721"/>
      <c r="I55" s="721"/>
      <c r="J55" s="721"/>
      <c r="K55" s="721"/>
      <c r="L55" s="744"/>
      <c r="M55" s="1041"/>
      <c r="N55" s="1041"/>
      <c r="O55" s="12"/>
      <c r="P55" s="102"/>
      <c r="Q55" s="745"/>
      <c r="R55" s="102"/>
      <c r="S55" s="750"/>
      <c r="T55" s="752" t="s">
        <v>414</v>
      </c>
      <c r="U55" s="311"/>
      <c r="V55" s="311"/>
      <c r="W55" s="311"/>
      <c r="X55" s="311"/>
      <c r="Y55" s="311"/>
      <c r="Z55" s="311"/>
      <c r="AA55" s="311"/>
      <c r="AB55" s="311"/>
      <c r="AC55" s="311"/>
      <c r="AD55" s="311"/>
      <c r="AE55" s="311"/>
      <c r="AF55" s="311"/>
      <c r="AG55" s="311"/>
      <c r="AH55" s="311"/>
      <c r="AI55" s="311"/>
      <c r="AJ55" s="311"/>
      <c r="AK55" s="311"/>
      <c r="AL55" s="311"/>
      <c r="AM55" s="311"/>
      <c r="AO55" s="69"/>
      <c r="AP55" s="69" t="str">
        <f t="shared" si="1"/>
        <v>Добавить централизованную систему для дифференциации</v>
      </c>
      <c r="AQ55" s="69"/>
      <c r="AR55" s="69"/>
    </row>
    <row r="56" spans="1:44" s="68" customFormat="1" ht="0.75" customHeight="1">
      <c r="A56" s="721" t="s">
        <v>211</v>
      </c>
      <c r="B56" s="721"/>
      <c r="C56" s="721"/>
      <c r="D56" s="721"/>
      <c r="E56" s="1289"/>
      <c r="F56" s="721"/>
      <c r="G56" s="721"/>
      <c r="H56" s="721"/>
      <c r="I56" s="721"/>
      <c r="J56" s="721"/>
      <c r="K56" s="721"/>
      <c r="L56" s="744"/>
      <c r="M56" s="1041"/>
      <c r="N56" s="1041"/>
      <c r="O56" s="12"/>
      <c r="P56" s="102"/>
      <c r="Q56" s="745"/>
      <c r="R56" s="102"/>
      <c r="S56" s="750"/>
      <c r="T56" s="752" t="s">
        <v>415</v>
      </c>
      <c r="U56" s="311"/>
      <c r="V56" s="311"/>
      <c r="W56" s="311"/>
      <c r="X56" s="311"/>
      <c r="Y56" s="311"/>
      <c r="Z56" s="311"/>
      <c r="AA56" s="311"/>
      <c r="AB56" s="311"/>
      <c r="AC56" s="311"/>
      <c r="AD56" s="311"/>
      <c r="AE56" s="311"/>
      <c r="AF56" s="311"/>
      <c r="AG56" s="311"/>
      <c r="AH56" s="311"/>
      <c r="AI56" s="311"/>
      <c r="AJ56" s="311"/>
      <c r="AK56" s="311"/>
      <c r="AL56" s="311"/>
      <c r="AM56" s="311"/>
      <c r="AO56" s="69"/>
      <c r="AP56" s="69" t="str">
        <f t="shared" si="1"/>
        <v>Добавить территорию для дифференциации</v>
      </c>
      <c r="AQ56" s="69"/>
      <c r="AR56" s="69"/>
    </row>
    <row r="57" spans="1:44" s="68" customFormat="1" ht="0.75" customHeight="1">
      <c r="A57" s="721"/>
      <c r="B57" s="721"/>
      <c r="C57" s="721"/>
      <c r="D57" s="721"/>
      <c r="E57" s="721"/>
      <c r="F57" s="721"/>
      <c r="G57" s="721"/>
      <c r="H57" s="721"/>
      <c r="I57" s="721"/>
      <c r="J57" s="721"/>
      <c r="K57" s="721"/>
      <c r="L57" s="744"/>
      <c r="M57" s="1041"/>
      <c r="N57" s="1041"/>
      <c r="O57" s="12"/>
      <c r="P57" s="102"/>
      <c r="Q57" s="745"/>
      <c r="R57" s="102"/>
      <c r="S57" s="750"/>
      <c r="T57" s="752" t="s">
        <v>447</v>
      </c>
      <c r="U57" s="311"/>
      <c r="V57" s="311"/>
      <c r="W57" s="311"/>
      <c r="X57" s="311"/>
      <c r="Y57" s="311"/>
      <c r="Z57" s="311"/>
      <c r="AA57" s="311"/>
      <c r="AB57" s="311"/>
      <c r="AC57" s="311"/>
      <c r="AD57" s="311"/>
      <c r="AE57" s="311"/>
      <c r="AF57" s="311"/>
      <c r="AG57" s="311"/>
      <c r="AH57" s="311"/>
      <c r="AI57" s="311"/>
      <c r="AJ57" s="311"/>
      <c r="AK57" s="311"/>
      <c r="AL57" s="311"/>
      <c r="AM57" s="311"/>
      <c r="AO57" s="69"/>
      <c r="AP57" s="69" t="str">
        <f t="shared" si="1"/>
        <v>Добавить наименование тарифа</v>
      </c>
      <c r="AQ57" s="69"/>
      <c r="AR57" s="69"/>
    </row>
    <row r="58" spans="1:44" ht="11.25" customHeight="1">
      <c r="M58" s="12"/>
      <c r="N58" s="12"/>
      <c r="O58" s="12"/>
      <c r="P58" s="12"/>
      <c r="Q58" s="12"/>
      <c r="R58" s="12"/>
      <c r="S58" s="12"/>
      <c r="AN58" s="12"/>
      <c r="AO58" s="12"/>
      <c r="AP58" s="12"/>
      <c r="AQ58" s="12"/>
      <c r="AR58" s="12"/>
    </row>
    <row r="59" spans="1:44" ht="27" customHeight="1">
      <c r="O59" s="12"/>
      <c r="S59" s="196"/>
      <c r="T59" s="1285"/>
      <c r="U59" s="1285"/>
      <c r="V59" s="1285"/>
      <c r="W59" s="1285"/>
      <c r="X59" s="1285"/>
      <c r="Y59" s="1285"/>
      <c r="Z59" s="1285"/>
      <c r="AA59" s="1285"/>
      <c r="AB59" s="1285"/>
      <c r="AC59" s="1285"/>
      <c r="AD59" s="1285"/>
      <c r="AE59" s="1285"/>
      <c r="AF59" s="1285"/>
      <c r="AG59" s="1285"/>
      <c r="AH59" s="1285"/>
      <c r="AI59" s="1285"/>
      <c r="AJ59" s="1285"/>
      <c r="AK59" s="1285"/>
      <c r="AL59" s="1285"/>
      <c r="AM59" s="1285"/>
    </row>
    <row r="60" spans="1:44" ht="62.25" customHeight="1">
      <c r="O60" s="12"/>
      <c r="T60" s="1285"/>
      <c r="U60" s="1285"/>
      <c r="V60" s="1285"/>
      <c r="W60" s="1285"/>
      <c r="X60" s="1285"/>
      <c r="Y60" s="1285"/>
      <c r="Z60" s="1285"/>
      <c r="AA60" s="1285"/>
      <c r="AB60" s="1285"/>
      <c r="AC60" s="1285"/>
      <c r="AD60" s="1285"/>
      <c r="AE60" s="1285"/>
      <c r="AF60" s="1285"/>
      <c r="AG60" s="1285"/>
      <c r="AH60" s="1285"/>
      <c r="AI60" s="1285"/>
      <c r="AJ60" s="1285"/>
      <c r="AK60" s="1285"/>
      <c r="AL60" s="1285"/>
      <c r="AM60" s="1285"/>
    </row>
    <row r="61" spans="1:44" ht="14.25" customHeight="1">
      <c r="O61" s="12"/>
    </row>
    <row r="62" spans="1:44" ht="18" customHeight="1">
      <c r="O62" s="12"/>
      <c r="S62" s="196"/>
      <c r="T62" s="1285"/>
      <c r="U62" s="1285"/>
      <c r="V62" s="1285"/>
      <c r="W62" s="1285"/>
      <c r="X62" s="1285"/>
      <c r="Y62" s="1285"/>
      <c r="Z62" s="1285"/>
      <c r="AA62" s="1285"/>
      <c r="AB62" s="1285"/>
      <c r="AC62" s="1285"/>
      <c r="AD62" s="1285"/>
      <c r="AE62" s="1285"/>
      <c r="AF62" s="1285"/>
      <c r="AG62" s="1285"/>
      <c r="AH62" s="1285"/>
      <c r="AI62" s="1285"/>
      <c r="AJ62" s="1285"/>
      <c r="AK62" s="1285"/>
      <c r="AL62" s="1285"/>
      <c r="AM62" s="1285"/>
    </row>
    <row r="63" spans="1:44" ht="18" customHeight="1">
      <c r="O63" s="12"/>
      <c r="T63" s="1285"/>
      <c r="U63" s="1285"/>
      <c r="V63" s="1285"/>
      <c r="W63" s="1285"/>
      <c r="X63" s="1285"/>
      <c r="Y63" s="1285"/>
      <c r="Z63" s="1285"/>
      <c r="AA63" s="1285"/>
      <c r="AB63" s="1285"/>
      <c r="AC63" s="1285"/>
      <c r="AD63" s="1285"/>
      <c r="AE63" s="1285"/>
      <c r="AF63" s="1285"/>
      <c r="AG63" s="1285"/>
      <c r="AH63" s="1285"/>
      <c r="AI63" s="1285"/>
      <c r="AJ63" s="1285"/>
      <c r="AK63" s="1285"/>
      <c r="AL63" s="1285"/>
      <c r="AM63" s="1285"/>
    </row>
    <row r="64" spans="1:44" ht="27.75" customHeight="1">
      <c r="O64" s="12"/>
      <c r="S64" s="196"/>
      <c r="T64" s="1285"/>
      <c r="U64" s="1285"/>
      <c r="V64" s="1285"/>
      <c r="W64" s="1285"/>
      <c r="X64" s="1285"/>
      <c r="Y64" s="1285"/>
      <c r="Z64" s="1285"/>
      <c r="AA64" s="1285"/>
      <c r="AB64" s="1285"/>
      <c r="AC64" s="1285"/>
      <c r="AD64" s="1285"/>
      <c r="AE64" s="1285"/>
      <c r="AF64" s="1285"/>
      <c r="AG64" s="1285"/>
      <c r="AH64" s="1285"/>
      <c r="AI64" s="1285"/>
      <c r="AJ64" s="1285"/>
      <c r="AK64" s="1285"/>
      <c r="AL64" s="1285"/>
      <c r="AM64" s="1285"/>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D2334-B986-206A-2296-1FD41B547DA2}">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299" hidden="1" customWidth="1"/>
    <col min="13" max="14" width="12.28515625" style="497" hidden="1" customWidth="1"/>
    <col min="15" max="15" width="23.42578125" style="497" hidden="1" customWidth="1"/>
    <col min="16" max="16" width="3.7109375" style="34" customWidth="1"/>
    <col min="17" max="18" width="3.7109375" style="30" customWidth="1"/>
    <col min="19" max="19" width="12.7109375" style="334" customWidth="1"/>
    <col min="20" max="20" width="32" style="12" customWidth="1"/>
    <col min="21" max="21" width="0.7109375" style="12" hidden="1" customWidth="1"/>
    <col min="22" max="22" width="1.7109375" style="12" hidden="1" customWidth="1"/>
    <col min="23" max="23" width="24.7109375" style="12" hidden="1" customWidth="1"/>
    <col min="24" max="25" width="0.140625" style="12" hidden="1" customWidth="1"/>
    <col min="26" max="26" width="11.7109375" style="12" hidden="1" customWidth="1"/>
    <col min="27" max="27" width="3.7109375" style="12" hidden="1" customWidth="1"/>
    <col min="28" max="28" width="11.7109375" style="12" hidden="1" customWidth="1"/>
    <col min="29" max="29" width="8.5703125" style="12" hidden="1" customWidth="1"/>
    <col min="30" max="30" width="0.140625" style="12" customWidth="1"/>
    <col min="31" max="31" width="24.7109375" style="12" customWidth="1"/>
    <col min="32" max="33" width="0.140625" style="12" customWidth="1"/>
    <col min="34" max="34" width="11.7109375" style="12" customWidth="1"/>
    <col min="35" max="35" width="3.7109375" style="12" customWidth="1"/>
    <col min="36" max="36" width="11.7109375" style="12" customWidth="1"/>
    <col min="37" max="37" width="8.5703125" style="12" hidden="1" customWidth="1"/>
    <col min="38" max="38" width="4.7109375" style="12" customWidth="1"/>
    <col min="39" max="39" width="115.7109375" style="12" customWidth="1"/>
    <col min="40" max="41" width="10.5703125" style="68"/>
    <col min="42" max="42" width="11.140625" style="68" customWidth="1"/>
    <col min="43" max="44" width="10.5703125" style="68"/>
  </cols>
  <sheetData>
    <row r="1" spans="1:44" ht="14.25" hidden="1" customHeight="1"/>
    <row r="2" spans="1:44" ht="21" hidden="1" customHeight="1">
      <c r="A2" s="759"/>
      <c r="B2" s="759"/>
      <c r="C2" s="759"/>
      <c r="D2" s="759"/>
      <c r="E2" s="1265">
        <v>1</v>
      </c>
      <c r="F2" s="759"/>
      <c r="G2" s="759"/>
      <c r="H2" s="759"/>
      <c r="I2" s="759"/>
      <c r="J2" s="759"/>
      <c r="K2" s="759"/>
      <c r="L2" s="760"/>
      <c r="M2" s="417"/>
      <c r="N2" s="417"/>
      <c r="O2" s="417"/>
      <c r="Q2" s="35"/>
      <c r="R2" s="205"/>
      <c r="S2" s="698" t="e">
        <f>INDEX(PT_DIFFERENTIATION_NUM_NTAR,MATCH(A2,PT_DIFFERENTIATION_NTAR_ID,0))</f>
        <v>#N/A</v>
      </c>
      <c r="T2" s="67" t="s">
        <v>124</v>
      </c>
      <c r="U2" s="169"/>
      <c r="V2" s="1251"/>
      <c r="W2" s="1252"/>
      <c r="X2" s="1252"/>
      <c r="Y2" s="1252"/>
      <c r="Z2" s="1252"/>
      <c r="AA2" s="1252"/>
      <c r="AB2" s="1252"/>
      <c r="AC2" s="1253"/>
      <c r="AD2" s="1251" t="e">
        <f>INDEX(PT_DIFFERENTIATION_NTAR,MATCH(A2,PT_DIFFERENTIATION_NTAR_ID,0))</f>
        <v>#N/A</v>
      </c>
      <c r="AE2" s="1252"/>
      <c r="AF2" s="1252"/>
      <c r="AG2" s="1252"/>
      <c r="AH2" s="1252"/>
      <c r="AI2" s="1252"/>
      <c r="AJ2" s="1252"/>
      <c r="AK2" s="1252"/>
      <c r="AL2" s="1253"/>
      <c r="AM2" s="718" t="s">
        <v>395</v>
      </c>
      <c r="AO2" s="69"/>
      <c r="AP2" s="69" t="str">
        <f t="shared" ref="AP2:AP15" si="0">IF(T2="","",T2)</f>
        <v>Наименование тарифа</v>
      </c>
      <c r="AQ2" s="69"/>
      <c r="AR2" s="69"/>
    </row>
    <row r="3" spans="1:44" ht="21" hidden="1" customHeight="1">
      <c r="A3" s="759"/>
      <c r="B3" s="759"/>
      <c r="C3" s="759"/>
      <c r="D3" s="759"/>
      <c r="E3" s="1266"/>
      <c r="F3" s="1265">
        <v>1</v>
      </c>
      <c r="G3" s="759"/>
      <c r="H3" s="759"/>
      <c r="I3" s="759"/>
      <c r="J3" s="759"/>
      <c r="K3" s="759"/>
      <c r="L3" s="760"/>
      <c r="M3" s="417"/>
      <c r="N3" s="417"/>
      <c r="O3" s="417"/>
      <c r="P3" s="59"/>
      <c r="Q3" s="202"/>
      <c r="R3" s="203"/>
      <c r="S3" s="698" t="e">
        <f>INDEX(PT_DIFFERENTIATION_NUM_TER,MATCH(B3,PT_DIFFERENTIATION_TER_ID,0))</f>
        <v>#N/A</v>
      </c>
      <c r="T3" s="175" t="s">
        <v>396</v>
      </c>
      <c r="U3" s="169"/>
      <c r="V3" s="1251"/>
      <c r="W3" s="1252"/>
      <c r="X3" s="1252"/>
      <c r="Y3" s="1252"/>
      <c r="Z3" s="1252"/>
      <c r="AA3" s="1252"/>
      <c r="AB3" s="1252"/>
      <c r="AC3" s="1253"/>
      <c r="AD3" s="1251" t="e">
        <f>INDEX(PT_DIFFERENTIATION_TER,MATCH(B3,PT_DIFFERENTIATION_TER_ID,0))</f>
        <v>#N/A</v>
      </c>
      <c r="AE3" s="1252"/>
      <c r="AF3" s="1252"/>
      <c r="AG3" s="1252"/>
      <c r="AH3" s="1252"/>
      <c r="AI3" s="1252"/>
      <c r="AJ3" s="1252"/>
      <c r="AK3" s="1252"/>
      <c r="AL3" s="1253"/>
      <c r="AM3" s="718" t="s">
        <v>397</v>
      </c>
      <c r="AO3" s="69"/>
      <c r="AP3" s="69" t="str">
        <f t="shared" si="0"/>
        <v>Территория действия тарифа</v>
      </c>
      <c r="AQ3" s="69"/>
      <c r="AR3" s="69"/>
    </row>
    <row r="4" spans="1:44" ht="23.25" hidden="1" customHeight="1">
      <c r="A4" s="759"/>
      <c r="B4" s="759"/>
      <c r="C4" s="759"/>
      <c r="D4" s="759"/>
      <c r="E4" s="1266"/>
      <c r="F4" s="1266"/>
      <c r="G4" s="1265">
        <v>1</v>
      </c>
      <c r="H4" s="759"/>
      <c r="I4" s="759"/>
      <c r="J4" s="759"/>
      <c r="K4" s="759"/>
      <c r="L4" s="760"/>
      <c r="M4" s="417"/>
      <c r="N4" s="417"/>
      <c r="O4" s="417"/>
      <c r="P4" s="204"/>
      <c r="Q4" s="202"/>
      <c r="R4" s="203"/>
      <c r="S4" s="698" t="e">
        <f>INDEX(PT_DIFFERENTIATION_NUM_CS,MATCH(C4,PT_DIFFERENTIATION_CS_ID,0))</f>
        <v>#N/A</v>
      </c>
      <c r="T4" s="176" t="s">
        <v>398</v>
      </c>
      <c r="U4" s="169"/>
      <c r="V4" s="1251"/>
      <c r="W4" s="1252"/>
      <c r="X4" s="1252"/>
      <c r="Y4" s="1252"/>
      <c r="Z4" s="1252"/>
      <c r="AA4" s="1252"/>
      <c r="AB4" s="1252"/>
      <c r="AC4" s="1253"/>
      <c r="AD4" s="1251" t="e">
        <f>INDEX(PT_DIFFERENTIATION_CS,MATCH(C4,PT_DIFFERENTIATION_CS_ID,0))</f>
        <v>#N/A</v>
      </c>
      <c r="AE4" s="1252"/>
      <c r="AF4" s="1252"/>
      <c r="AG4" s="1252"/>
      <c r="AH4" s="1252"/>
      <c r="AI4" s="1252"/>
      <c r="AJ4" s="1252"/>
      <c r="AK4" s="1252"/>
      <c r="AL4" s="1253"/>
      <c r="AM4" s="718" t="s">
        <v>399</v>
      </c>
      <c r="AO4" s="69"/>
      <c r="AP4" s="69" t="str">
        <f t="shared" si="0"/>
        <v xml:space="preserve">Наименование системы теплоснабжения </v>
      </c>
      <c r="AQ4" s="69"/>
      <c r="AR4" s="69"/>
    </row>
    <row r="5" spans="1:44" ht="21" hidden="1" customHeight="1">
      <c r="A5" s="759"/>
      <c r="B5" s="759"/>
      <c r="C5" s="759"/>
      <c r="D5" s="759"/>
      <c r="E5" s="1266"/>
      <c r="F5" s="1266"/>
      <c r="G5" s="1266"/>
      <c r="H5" s="1265">
        <v>1</v>
      </c>
      <c r="I5" s="759"/>
      <c r="J5" s="759"/>
      <c r="K5" s="759"/>
      <c r="L5" s="760"/>
      <c r="M5" s="417"/>
      <c r="N5" s="417"/>
      <c r="O5" s="417"/>
      <c r="P5" s="204"/>
      <c r="Q5" s="202"/>
      <c r="R5" s="203"/>
      <c r="S5" s="698" t="e">
        <f>INDEX(PT_DIFFERENTIATION_NUM_IST_TE,MATCH(D5,PT_DIFFERENTIATION_IST_TE_ID,0))</f>
        <v>#N/A</v>
      </c>
      <c r="T5" s="177" t="s">
        <v>400</v>
      </c>
      <c r="U5" s="169"/>
      <c r="V5" s="1251"/>
      <c r="W5" s="1252"/>
      <c r="X5" s="1252"/>
      <c r="Y5" s="1252"/>
      <c r="Z5" s="1252"/>
      <c r="AA5" s="1252"/>
      <c r="AB5" s="1252"/>
      <c r="AC5" s="1253"/>
      <c r="AD5" s="1251" t="e">
        <f>INDEX(PT_DIFFERENTIATION_IST_TE,MATCH(D5,PT_DIFFERENTIATION_IST_TE_ID,0))</f>
        <v>#N/A</v>
      </c>
      <c r="AE5" s="1252"/>
      <c r="AF5" s="1252"/>
      <c r="AG5" s="1252"/>
      <c r="AH5" s="1252"/>
      <c r="AI5" s="1252"/>
      <c r="AJ5" s="1252"/>
      <c r="AK5" s="1252"/>
      <c r="AL5" s="1253"/>
      <c r="AM5" s="718" t="s">
        <v>401</v>
      </c>
      <c r="AO5" s="69"/>
      <c r="AP5" s="69" t="str">
        <f t="shared" si="0"/>
        <v xml:space="preserve">Источник тепловой энергии  </v>
      </c>
      <c r="AQ5" s="69"/>
      <c r="AR5" s="69"/>
    </row>
    <row r="6" spans="1:44" ht="47.25" hidden="1" customHeight="1">
      <c r="A6" s="759"/>
      <c r="B6" s="759"/>
      <c r="C6" s="759"/>
      <c r="D6" s="759"/>
      <c r="E6" s="1266"/>
      <c r="F6" s="1266"/>
      <c r="G6" s="1266"/>
      <c r="H6" s="1266"/>
      <c r="I6" s="1263" t="e">
        <f>S5&amp;".1"</f>
        <v>#N/A</v>
      </c>
      <c r="J6" s="759"/>
      <c r="K6" s="759"/>
      <c r="L6" s="760" t="s">
        <v>402</v>
      </c>
      <c r="M6" s="63"/>
      <c r="P6" s="1264">
        <v>1</v>
      </c>
      <c r="Q6" s="120"/>
      <c r="R6" s="206"/>
      <c r="S6" s="698" t="e">
        <f>$I6</f>
        <v>#N/A</v>
      </c>
      <c r="T6" s="162" t="s">
        <v>403</v>
      </c>
      <c r="U6" s="169"/>
      <c r="V6" s="1254"/>
      <c r="W6" s="1255"/>
      <c r="X6" s="1255"/>
      <c r="Y6" s="1255"/>
      <c r="Z6" s="1255"/>
      <c r="AA6" s="1255"/>
      <c r="AB6" s="1255"/>
      <c r="AC6" s="1256"/>
      <c r="AD6" s="1254"/>
      <c r="AE6" s="1255"/>
      <c r="AF6" s="1255"/>
      <c r="AG6" s="1255"/>
      <c r="AH6" s="1255"/>
      <c r="AI6" s="1255"/>
      <c r="AJ6" s="1255"/>
      <c r="AK6" s="1255"/>
      <c r="AL6" s="1256"/>
      <c r="AM6" s="718" t="s">
        <v>404</v>
      </c>
      <c r="AO6" s="69"/>
      <c r="AP6" s="69" t="str">
        <f t="shared" si="0"/>
        <v>Схема подключения теплопотребляющей установки к коллектору источника тепловой энергии</v>
      </c>
      <c r="AQ6" s="69"/>
      <c r="AR6" s="69"/>
    </row>
    <row r="7" spans="1:44" ht="21" hidden="1" customHeight="1">
      <c r="A7" s="759"/>
      <c r="B7" s="759"/>
      <c r="C7" s="759"/>
      <c r="D7" s="759"/>
      <c r="E7" s="1266"/>
      <c r="F7" s="1266"/>
      <c r="G7" s="1266"/>
      <c r="H7" s="1266"/>
      <c r="I7" s="1286"/>
      <c r="J7" s="1263" t="e">
        <f>I6&amp;".1"</f>
        <v>#N/A</v>
      </c>
      <c r="K7" s="759"/>
      <c r="L7" s="760" t="s">
        <v>405</v>
      </c>
      <c r="M7" s="63"/>
      <c r="N7" s="63"/>
      <c r="P7" s="1264"/>
      <c r="Q7" s="1264">
        <v>1</v>
      </c>
      <c r="R7" s="207"/>
      <c r="S7" s="698" t="e">
        <f>$J7</f>
        <v>#N/A</v>
      </c>
      <c r="T7" s="163" t="s">
        <v>406</v>
      </c>
      <c r="U7" s="169"/>
      <c r="V7" s="1254"/>
      <c r="W7" s="1255"/>
      <c r="X7" s="1255"/>
      <c r="Y7" s="1255"/>
      <c r="Z7" s="1255"/>
      <c r="AA7" s="1255"/>
      <c r="AB7" s="1255"/>
      <c r="AC7" s="1256"/>
      <c r="AD7" s="1254"/>
      <c r="AE7" s="1255"/>
      <c r="AF7" s="1255"/>
      <c r="AG7" s="1255"/>
      <c r="AH7" s="1255"/>
      <c r="AI7" s="1255"/>
      <c r="AJ7" s="1255"/>
      <c r="AK7" s="1255"/>
      <c r="AL7" s="1256"/>
      <c r="AM7" s="718" t="s">
        <v>407</v>
      </c>
      <c r="AO7" s="69"/>
      <c r="AP7" s="69" t="str">
        <f t="shared" si="0"/>
        <v>Группа потребителей</v>
      </c>
      <c r="AQ7" s="69"/>
      <c r="AR7" s="69"/>
    </row>
    <row r="8" spans="1:44" ht="21" hidden="1" customHeight="1">
      <c r="A8" s="759"/>
      <c r="B8" s="759"/>
      <c r="C8" s="759"/>
      <c r="D8" s="759"/>
      <c r="E8" s="1266"/>
      <c r="F8" s="1266"/>
      <c r="G8" s="1266"/>
      <c r="H8" s="1266"/>
      <c r="I8" s="1286"/>
      <c r="J8" s="1286"/>
      <c r="K8" s="1263" t="e">
        <f>J7&amp;".1"</f>
        <v>#N/A</v>
      </c>
      <c r="L8" s="760" t="s">
        <v>408</v>
      </c>
      <c r="M8" s="63"/>
      <c r="N8" s="63"/>
      <c r="O8" s="63"/>
      <c r="P8" s="1264"/>
      <c r="Q8" s="1264"/>
      <c r="R8" s="207">
        <v>1</v>
      </c>
      <c r="S8" s="698" t="e">
        <f>$K8</f>
        <v>#N/A</v>
      </c>
      <c r="T8" s="755"/>
      <c r="U8" s="169"/>
      <c r="V8" s="189"/>
      <c r="W8" s="304"/>
      <c r="X8" s="189"/>
      <c r="Y8" s="217"/>
      <c r="Z8" s="1268"/>
      <c r="AA8" s="1127" t="s">
        <v>62</v>
      </c>
      <c r="AB8" s="1268"/>
      <c r="AC8" s="1127" t="s">
        <v>62</v>
      </c>
      <c r="AD8" s="189"/>
      <c r="AE8" s="304"/>
      <c r="AF8" s="189"/>
      <c r="AG8" s="217"/>
      <c r="AH8" s="1268"/>
      <c r="AI8" s="1127" t="s">
        <v>62</v>
      </c>
      <c r="AJ8" s="1268"/>
      <c r="AK8" s="1127" t="s">
        <v>62</v>
      </c>
      <c r="AL8" s="189"/>
      <c r="AM8" s="1260" t="s">
        <v>409</v>
      </c>
      <c r="AN8" s="68" t="e">
        <f ca="1">STRCHECKDATE(V9:AL9)</f>
        <v>#NAME?</v>
      </c>
      <c r="AO8" s="69"/>
      <c r="AP8" s="69" t="str">
        <f t="shared" si="0"/>
        <v/>
      </c>
      <c r="AQ8" s="69"/>
      <c r="AR8" s="69"/>
    </row>
    <row r="9" spans="1:44" ht="0.75" hidden="1" customHeight="1">
      <c r="A9" s="759"/>
      <c r="B9" s="759"/>
      <c r="C9" s="759"/>
      <c r="D9" s="759"/>
      <c r="E9" s="1266"/>
      <c r="F9" s="1266"/>
      <c r="G9" s="1266"/>
      <c r="H9" s="1266"/>
      <c r="I9" s="1286"/>
      <c r="J9" s="1286"/>
      <c r="K9" s="1263"/>
      <c r="L9" s="760"/>
      <c r="M9" s="63"/>
      <c r="N9" s="63"/>
      <c r="O9" s="63"/>
      <c r="P9" s="1264"/>
      <c r="Q9" s="1264"/>
      <c r="R9" s="207"/>
      <c r="S9" s="65"/>
      <c r="T9" s="169"/>
      <c r="U9" s="169"/>
      <c r="V9" s="189"/>
      <c r="W9" s="189"/>
      <c r="X9" s="189"/>
      <c r="Y9" s="190" t="str">
        <f>Z8&amp;"-"&amp;AB8</f>
        <v>-</v>
      </c>
      <c r="Z9" s="1269"/>
      <c r="AA9" s="1127"/>
      <c r="AB9" s="1269"/>
      <c r="AC9" s="1127"/>
      <c r="AD9" s="189"/>
      <c r="AE9" s="189"/>
      <c r="AF9" s="189"/>
      <c r="AG9" s="190" t="str">
        <f>AH8&amp;"-"&amp;AJ8</f>
        <v>-</v>
      </c>
      <c r="AH9" s="1269"/>
      <c r="AI9" s="1127"/>
      <c r="AJ9" s="1269"/>
      <c r="AK9" s="1127"/>
      <c r="AL9" s="189"/>
      <c r="AM9" s="1261"/>
      <c r="AO9" s="69"/>
      <c r="AP9" s="69" t="str">
        <f t="shared" si="0"/>
        <v/>
      </c>
      <c r="AQ9" s="69"/>
      <c r="AR9" s="69"/>
    </row>
    <row r="10" spans="1:44" ht="15" hidden="1" customHeight="1">
      <c r="A10" s="759"/>
      <c r="B10" s="759"/>
      <c r="C10" s="759"/>
      <c r="D10" s="759"/>
      <c r="E10" s="1266"/>
      <c r="F10" s="1266"/>
      <c r="G10" s="1266"/>
      <c r="H10" s="1266"/>
      <c r="I10" s="1286"/>
      <c r="J10" s="1263"/>
      <c r="K10" s="759"/>
      <c r="L10" s="760"/>
      <c r="M10" s="63"/>
      <c r="N10" s="63"/>
      <c r="P10" s="1264"/>
      <c r="Q10" s="1264"/>
      <c r="R10" s="206"/>
      <c r="S10" s="732"/>
      <c r="T10" s="165" t="s">
        <v>410</v>
      </c>
      <c r="U10" s="211"/>
      <c r="V10" s="211"/>
      <c r="W10" s="211"/>
      <c r="X10" s="211"/>
      <c r="Y10" s="211"/>
      <c r="Z10" s="211"/>
      <c r="AA10" s="211"/>
      <c r="AB10" s="211"/>
      <c r="AC10" s="211"/>
      <c r="AD10" s="211"/>
      <c r="AE10" s="211"/>
      <c r="AF10" s="211"/>
      <c r="AG10" s="211"/>
      <c r="AH10" s="211"/>
      <c r="AI10" s="211"/>
      <c r="AJ10" s="211"/>
      <c r="AK10" s="211"/>
      <c r="AL10" s="188"/>
      <c r="AM10" s="1262"/>
      <c r="AO10" s="69"/>
      <c r="AP10" s="69" t="str">
        <f t="shared" si="0"/>
        <v>Добавить вид теплоносителя (параметры теплоносителя)</v>
      </c>
      <c r="AQ10" s="69"/>
      <c r="AR10" s="69"/>
    </row>
    <row r="11" spans="1:44" ht="15" hidden="1" customHeight="1">
      <c r="A11" s="759"/>
      <c r="B11" s="759"/>
      <c r="C11" s="759"/>
      <c r="D11" s="759"/>
      <c r="E11" s="1266"/>
      <c r="F11" s="1266"/>
      <c r="G11" s="1266"/>
      <c r="H11" s="1266"/>
      <c r="I11" s="1263"/>
      <c r="J11" s="759"/>
      <c r="K11" s="759"/>
      <c r="L11" s="760"/>
      <c r="M11" s="63"/>
      <c r="P11" s="1264"/>
      <c r="Q11" s="120"/>
      <c r="R11" s="206"/>
      <c r="S11" s="732"/>
      <c r="T11" s="164" t="s">
        <v>411</v>
      </c>
      <c r="U11" s="211"/>
      <c r="V11" s="211"/>
      <c r="W11" s="211"/>
      <c r="X11" s="211"/>
      <c r="Y11" s="211"/>
      <c r="Z11" s="211"/>
      <c r="AA11" s="211"/>
      <c r="AB11" s="211"/>
      <c r="AC11" s="210"/>
      <c r="AD11" s="211"/>
      <c r="AE11" s="211"/>
      <c r="AF11" s="211"/>
      <c r="AG11" s="211"/>
      <c r="AH11" s="211"/>
      <c r="AI11" s="211"/>
      <c r="AJ11" s="211"/>
      <c r="AK11" s="210"/>
      <c r="AL11" s="211"/>
      <c r="AM11" s="172"/>
      <c r="AO11" s="69"/>
      <c r="AP11" s="69" t="str">
        <f t="shared" si="0"/>
        <v>Добавить группу потребителей</v>
      </c>
      <c r="AQ11" s="69"/>
      <c r="AR11" s="69"/>
    </row>
    <row r="12" spans="1:44" ht="14.25" hidden="1" customHeight="1">
      <c r="A12" s="759"/>
      <c r="B12" s="759"/>
      <c r="C12" s="759"/>
      <c r="D12" s="759"/>
      <c r="E12" s="1266"/>
      <c r="F12" s="1266"/>
      <c r="G12" s="1266"/>
      <c r="H12" s="1265"/>
      <c r="I12" s="759"/>
      <c r="J12" s="759"/>
      <c r="K12" s="759"/>
      <c r="L12" s="760"/>
      <c r="M12" s="417"/>
      <c r="N12" s="417"/>
      <c r="O12" s="63"/>
      <c r="P12" s="35"/>
      <c r="Q12" s="214"/>
      <c r="R12" s="205"/>
      <c r="S12" s="732"/>
      <c r="T12" s="209" t="s">
        <v>412</v>
      </c>
      <c r="U12" s="211"/>
      <c r="V12" s="211"/>
      <c r="W12" s="211"/>
      <c r="X12" s="211"/>
      <c r="Y12" s="211"/>
      <c r="Z12" s="211"/>
      <c r="AA12" s="211"/>
      <c r="AB12" s="211"/>
      <c r="AC12" s="210"/>
      <c r="AD12" s="211"/>
      <c r="AE12" s="211"/>
      <c r="AF12" s="211"/>
      <c r="AG12" s="211"/>
      <c r="AH12" s="211"/>
      <c r="AI12" s="211"/>
      <c r="AJ12" s="211"/>
      <c r="AK12" s="210"/>
      <c r="AL12" s="211"/>
      <c r="AM12" s="172"/>
      <c r="AO12" s="69"/>
      <c r="AP12" s="69" t="str">
        <f t="shared" si="0"/>
        <v>Добавить схему подключения</v>
      </c>
      <c r="AQ12" s="69"/>
      <c r="AR12" s="69"/>
    </row>
    <row r="13" spans="1:44" s="68" customFormat="1" ht="0.75" hidden="1" customHeight="1">
      <c r="A13" s="143"/>
      <c r="B13" s="143"/>
      <c r="C13" s="143"/>
      <c r="D13" s="143"/>
      <c r="E13" s="1266"/>
      <c r="F13" s="1266"/>
      <c r="G13" s="1265"/>
      <c r="H13" s="143"/>
      <c r="I13" s="143"/>
      <c r="J13" s="143"/>
      <c r="K13" s="143"/>
      <c r="L13" s="338"/>
      <c r="M13" s="291"/>
      <c r="N13" s="291"/>
      <c r="P13" s="102"/>
      <c r="Q13" s="745"/>
      <c r="R13" s="102"/>
      <c r="S13" s="746"/>
      <c r="T13" s="747" t="s">
        <v>413</v>
      </c>
      <c r="U13" s="748"/>
      <c r="V13" s="748"/>
      <c r="W13" s="748"/>
      <c r="X13" s="748"/>
      <c r="Y13" s="748"/>
      <c r="Z13" s="748"/>
      <c r="AA13" s="748"/>
      <c r="AB13" s="748"/>
      <c r="AC13" s="748"/>
      <c r="AD13" s="748"/>
      <c r="AE13" s="748"/>
      <c r="AF13" s="748"/>
      <c r="AG13" s="748"/>
      <c r="AH13" s="748"/>
      <c r="AI13" s="748"/>
      <c r="AJ13" s="748"/>
      <c r="AK13" s="748"/>
      <c r="AL13" s="748"/>
      <c r="AM13" s="748"/>
      <c r="AO13" s="69"/>
      <c r="AP13" s="69" t="str">
        <f t="shared" si="0"/>
        <v>Добавить источник для дифференциации</v>
      </c>
      <c r="AQ13" s="69"/>
      <c r="AR13" s="69"/>
    </row>
    <row r="14" spans="1:44" s="68" customFormat="1" ht="0.75" hidden="1" customHeight="1">
      <c r="A14" s="143"/>
      <c r="B14" s="143"/>
      <c r="C14" s="143"/>
      <c r="D14" s="143"/>
      <c r="E14" s="1266"/>
      <c r="F14" s="1265"/>
      <c r="G14" s="143"/>
      <c r="H14" s="143"/>
      <c r="I14" s="143"/>
      <c r="J14" s="143"/>
      <c r="K14" s="143"/>
      <c r="L14" s="338"/>
      <c r="M14" s="749"/>
      <c r="N14" s="749"/>
      <c r="P14" s="102"/>
      <c r="Q14" s="745"/>
      <c r="R14" s="102"/>
      <c r="S14" s="750"/>
      <c r="T14" s="751" t="s">
        <v>414</v>
      </c>
      <c r="U14" s="311"/>
      <c r="V14" s="311"/>
      <c r="W14" s="311"/>
      <c r="X14" s="311"/>
      <c r="Y14" s="311"/>
      <c r="Z14" s="311"/>
      <c r="AA14" s="311"/>
      <c r="AB14" s="311"/>
      <c r="AC14" s="311"/>
      <c r="AD14" s="311"/>
      <c r="AE14" s="311"/>
      <c r="AF14" s="311"/>
      <c r="AG14" s="311"/>
      <c r="AH14" s="311"/>
      <c r="AI14" s="311"/>
      <c r="AJ14" s="311"/>
      <c r="AK14" s="311"/>
      <c r="AL14" s="311"/>
      <c r="AM14" s="311"/>
      <c r="AO14" s="69"/>
      <c r="AP14" s="69" t="str">
        <f t="shared" si="0"/>
        <v>Добавить централизованную систему для дифференциации</v>
      </c>
      <c r="AQ14" s="69"/>
      <c r="AR14" s="69"/>
    </row>
    <row r="15" spans="1:44" s="68" customFormat="1" ht="0.75" hidden="1" customHeight="1">
      <c r="A15" s="143"/>
      <c r="B15" s="143"/>
      <c r="C15" s="143"/>
      <c r="D15" s="143"/>
      <c r="E15" s="1265"/>
      <c r="F15" s="143"/>
      <c r="G15" s="143"/>
      <c r="H15" s="143"/>
      <c r="I15" s="143"/>
      <c r="J15" s="143"/>
      <c r="K15" s="143"/>
      <c r="L15" s="338"/>
      <c r="M15" s="749"/>
      <c r="N15" s="749"/>
      <c r="P15" s="102"/>
      <c r="Q15" s="745"/>
      <c r="R15" s="102"/>
      <c r="S15" s="750"/>
      <c r="T15" s="752" t="s">
        <v>415</v>
      </c>
      <c r="U15" s="311"/>
      <c r="V15" s="311"/>
      <c r="W15" s="311"/>
      <c r="X15" s="311"/>
      <c r="Y15" s="311"/>
      <c r="Z15" s="311"/>
      <c r="AA15" s="311"/>
      <c r="AB15" s="311"/>
      <c r="AC15" s="311"/>
      <c r="AD15" s="311"/>
      <c r="AE15" s="311"/>
      <c r="AF15" s="311"/>
      <c r="AG15" s="311"/>
      <c r="AH15" s="311"/>
      <c r="AI15" s="311"/>
      <c r="AJ15" s="311"/>
      <c r="AK15" s="311"/>
      <c r="AL15" s="311"/>
      <c r="AM15" s="311"/>
      <c r="AO15" s="69"/>
      <c r="AP15" s="69" t="str">
        <f t="shared" si="0"/>
        <v>Добавить территорию для дифференциации</v>
      </c>
      <c r="AQ15" s="69"/>
      <c r="AR15" s="69"/>
    </row>
    <row r="16" spans="1:44" ht="14.25" hidden="1" customHeight="1"/>
    <row r="17" spans="1:44" ht="14.25" hidden="1" customHeight="1">
      <c r="AD17" s="359"/>
      <c r="AE17" s="359"/>
      <c r="AF17" s="359"/>
      <c r="AG17" s="758"/>
      <c r="AH17" s="1270"/>
      <c r="AI17" s="1271" t="s">
        <v>62</v>
      </c>
      <c r="AJ17" s="1270"/>
      <c r="AK17" s="1271" t="s">
        <v>62</v>
      </c>
    </row>
    <row r="18" spans="1:44" ht="14.25" hidden="1" customHeight="1">
      <c r="AD18" s="359"/>
      <c r="AE18" s="359"/>
      <c r="AF18" s="359"/>
      <c r="AG18" s="190" t="str">
        <f>AH17&amp;"-"&amp;AJ17</f>
        <v>-</v>
      </c>
      <c r="AH18" s="1271"/>
      <c r="AI18" s="1271"/>
      <c r="AJ18" s="1271"/>
      <c r="AK18" s="1271"/>
    </row>
    <row r="19" spans="1:44" ht="14.25" hidden="1" customHeight="1"/>
    <row r="20" spans="1:44" s="63" customFormat="1" ht="22.5" hidden="1" customHeight="1">
      <c r="L20" s="299"/>
      <c r="M20" s="497"/>
      <c r="N20" s="497"/>
      <c r="O20" s="761" t="s">
        <v>416</v>
      </c>
      <c r="P20" s="497"/>
      <c r="Q20" s="762"/>
      <c r="R20" s="762"/>
      <c r="S20" s="417"/>
      <c r="Z20" s="761"/>
      <c r="AB20" s="761"/>
      <c r="AH20" s="761"/>
      <c r="AJ20" s="761"/>
      <c r="AN20" s="68"/>
      <c r="AO20" s="68"/>
      <c r="AP20" s="68"/>
      <c r="AQ20" s="68"/>
      <c r="AR20" s="68"/>
    </row>
    <row r="21" spans="1:44" s="63" customFormat="1" ht="14.25" hidden="1" customHeight="1">
      <c r="L21" s="299"/>
      <c r="M21" s="497"/>
      <c r="N21" s="497"/>
      <c r="O21" s="497"/>
      <c r="P21" s="497"/>
      <c r="Q21" s="762"/>
      <c r="R21" s="762"/>
      <c r="S21" s="417"/>
      <c r="AN21" s="68"/>
      <c r="AO21" s="68"/>
      <c r="AP21" s="68"/>
      <c r="AQ21" s="68"/>
      <c r="AR21" s="68"/>
    </row>
    <row r="22" spans="1:44" s="63" customFormat="1" ht="33.75" hidden="1" customHeight="1">
      <c r="L22" s="299"/>
      <c r="M22" s="497"/>
      <c r="N22" s="497"/>
      <c r="O22" s="760" t="s">
        <v>417</v>
      </c>
      <c r="P22" s="497"/>
      <c r="Q22" s="762"/>
      <c r="R22" s="762"/>
      <c r="S22" s="417"/>
      <c r="T22" s="63" t="s">
        <v>418</v>
      </c>
      <c r="AA22" s="81" t="s">
        <v>419</v>
      </c>
      <c r="AC22" s="81" t="s">
        <v>420</v>
      </c>
      <c r="AD22" s="63" t="s">
        <v>418</v>
      </c>
      <c r="AI22" s="81" t="s">
        <v>421</v>
      </c>
      <c r="AK22" s="81" t="s">
        <v>420</v>
      </c>
      <c r="AN22" s="68"/>
      <c r="AO22" s="68"/>
      <c r="AP22" s="68"/>
      <c r="AQ22" s="68"/>
      <c r="AR22" s="68"/>
    </row>
    <row r="23" spans="1:44" ht="14.25" hidden="1" customHeight="1">
      <c r="O23" s="760"/>
    </row>
    <row r="24" spans="1:44" ht="14.25" hidden="1" customHeight="1">
      <c r="O24" s="760"/>
    </row>
    <row r="25" spans="1:44" ht="14.25" customHeight="1">
      <c r="Q25" s="29"/>
      <c r="R25" s="29"/>
      <c r="S25" s="729"/>
      <c r="T25" s="11"/>
      <c r="U25" s="11"/>
    </row>
    <row r="26" spans="1:44" ht="27.75" customHeight="1">
      <c r="Q26" s="29"/>
      <c r="R26" s="29"/>
      <c r="S26" s="1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49"/>
      <c r="U26" s="1249"/>
      <c r="V26" s="1249"/>
      <c r="W26" s="1249"/>
      <c r="X26" s="1249"/>
      <c r="Y26" s="1249"/>
      <c r="Z26" s="1249"/>
      <c r="AA26" s="1249"/>
      <c r="AB26" s="1249"/>
      <c r="AC26" s="1249"/>
      <c r="AD26" s="1249"/>
      <c r="AE26" s="1249"/>
      <c r="AF26" s="1249"/>
      <c r="AG26" s="1249"/>
      <c r="AH26" s="1249"/>
      <c r="AI26" s="1249"/>
      <c r="AJ26" s="1249"/>
      <c r="AK26" s="60"/>
    </row>
    <row r="27" spans="1:44" ht="14.25" customHeight="1">
      <c r="Q27" s="29"/>
      <c r="R27" s="29"/>
      <c r="S27" s="1194" t="str">
        <f>IF(org=0,"Не определено",org)</f>
        <v>АО "ХТК"</v>
      </c>
      <c r="T27" s="1194"/>
      <c r="U27" s="1194"/>
      <c r="V27" s="1194"/>
      <c r="W27" s="1194"/>
      <c r="X27" s="1194"/>
      <c r="Y27" s="1194"/>
      <c r="Z27" s="1194"/>
      <c r="AA27" s="1194"/>
      <c r="AB27" s="1194"/>
      <c r="AC27" s="1194"/>
      <c r="AD27" s="1194"/>
      <c r="AE27" s="1194"/>
      <c r="AF27" s="1194"/>
      <c r="AG27" s="1194"/>
      <c r="AH27" s="1194"/>
      <c r="AI27" s="1194"/>
      <c r="AJ27" s="1194"/>
      <c r="AK27" s="60"/>
    </row>
    <row r="28" spans="1:44" ht="14.25" hidden="1" customHeight="1">
      <c r="Q28" s="29"/>
      <c r="R28" s="29"/>
      <c r="S28" s="729"/>
      <c r="T28" s="11"/>
      <c r="U28" s="11"/>
      <c r="V28" s="187"/>
      <c r="W28" s="187"/>
      <c r="X28" s="187"/>
      <c r="Y28" s="187"/>
      <c r="Z28" s="187"/>
      <c r="AA28" s="187"/>
      <c r="AB28" s="187"/>
      <c r="AC28" s="187"/>
      <c r="AD28" s="187"/>
      <c r="AE28" s="187"/>
      <c r="AF28" s="187"/>
      <c r="AG28" s="187"/>
      <c r="AH28" s="187"/>
      <c r="AI28" s="187"/>
      <c r="AJ28" s="187"/>
      <c r="AK28" s="187"/>
    </row>
    <row r="29" spans="1:44" s="36" customFormat="1" ht="25.5" hidden="1" customHeight="1">
      <c r="A29" s="81"/>
      <c r="B29" s="81"/>
      <c r="C29" s="81"/>
      <c r="D29" s="81"/>
      <c r="E29" s="81"/>
      <c r="F29" s="81"/>
      <c r="G29" s="81"/>
      <c r="H29" s="81"/>
      <c r="I29" s="81"/>
      <c r="J29" s="81"/>
      <c r="K29" s="81"/>
      <c r="L29" s="760"/>
      <c r="M29" s="81"/>
      <c r="N29" s="81"/>
      <c r="O29" s="81"/>
      <c r="S29" s="1257" t="s">
        <v>37</v>
      </c>
      <c r="T29" s="1257"/>
      <c r="U29" s="763"/>
      <c r="V29" s="1258" t="str">
        <f>IF(TITLE_NAME_OR_PR_CHANGE="",IF(TITLE_NAME_OR_PR="","",TITLE_NAME_OR_PR),TITLE_NAME_OR_PR_CHANGE)</f>
        <v/>
      </c>
      <c r="W29" s="1258"/>
      <c r="X29" s="1258"/>
      <c r="Y29" s="1258"/>
      <c r="Z29" s="1258"/>
      <c r="AA29" s="1258"/>
      <c r="AB29" s="1258"/>
      <c r="AC29" s="12"/>
      <c r="AD29" s="1258" t="str">
        <f>IF(TITLE_NAME_OR_PR_CHANGE="",IF(TITLE_NAME_OR_PR="","",TITLE_NAME_OR_PR),TITLE_NAME_OR_PR_CHANGE)</f>
        <v/>
      </c>
      <c r="AE29" s="1258"/>
      <c r="AF29" s="1258"/>
      <c r="AG29" s="1258"/>
      <c r="AH29" s="1258"/>
      <c r="AI29" s="1258"/>
      <c r="AJ29" s="1258"/>
      <c r="AK29" s="12"/>
      <c r="AL29" s="12"/>
      <c r="AM29" s="161"/>
      <c r="AN29" s="69"/>
      <c r="AO29" s="69"/>
      <c r="AP29" s="69"/>
      <c r="AQ29" s="69"/>
      <c r="AR29" s="69"/>
    </row>
    <row r="30" spans="1:44" s="36" customFormat="1" ht="18.75" hidden="1" customHeight="1">
      <c r="A30" s="81"/>
      <c r="B30" s="81"/>
      <c r="C30" s="81"/>
      <c r="D30" s="81"/>
      <c r="E30" s="81"/>
      <c r="F30" s="81"/>
      <c r="G30" s="81"/>
      <c r="H30" s="81"/>
      <c r="I30" s="81"/>
      <c r="J30" s="81"/>
      <c r="K30" s="81"/>
      <c r="L30" s="760"/>
      <c r="M30" s="81"/>
      <c r="N30" s="81"/>
      <c r="O30" s="81"/>
      <c r="S30" s="1257" t="s">
        <v>422</v>
      </c>
      <c r="T30" s="1257"/>
      <c r="U30" s="763"/>
      <c r="V30" s="1267" t="str">
        <f>IF(TITLE_DATE_PR_CHANGE="",IF(TITLE_DATE_PR="","",TITLE_DATE_PR),TITLE_DATE_PR_CHANGE)</f>
        <v/>
      </c>
      <c r="W30" s="1267"/>
      <c r="X30" s="1267"/>
      <c r="Y30" s="1267"/>
      <c r="Z30" s="1267"/>
      <c r="AA30" s="1267"/>
      <c r="AB30" s="1267"/>
      <c r="AC30" s="12"/>
      <c r="AD30" s="1267" t="str">
        <f>IF(TITLE_DATE_PR_CHANGE="",IF(TITLE_DATE_PR="","",TITLE_DATE_PR),TITLE_DATE_PR_CHANGE)</f>
        <v/>
      </c>
      <c r="AE30" s="1267"/>
      <c r="AF30" s="1267"/>
      <c r="AG30" s="1267"/>
      <c r="AH30" s="1267"/>
      <c r="AI30" s="1267"/>
      <c r="AJ30" s="1267"/>
      <c r="AK30" s="12"/>
      <c r="AL30" s="12"/>
      <c r="AM30" s="161"/>
      <c r="AN30" s="69"/>
      <c r="AO30" s="69"/>
      <c r="AP30" s="69"/>
      <c r="AQ30" s="69"/>
      <c r="AR30" s="69"/>
    </row>
    <row r="31" spans="1:44" s="36" customFormat="1" ht="18.75" hidden="1" customHeight="1">
      <c r="A31" s="81"/>
      <c r="B31" s="81"/>
      <c r="C31" s="81"/>
      <c r="D31" s="81"/>
      <c r="E31" s="81"/>
      <c r="F31" s="81"/>
      <c r="G31" s="81"/>
      <c r="H31" s="81"/>
      <c r="I31" s="81"/>
      <c r="J31" s="81"/>
      <c r="K31" s="81"/>
      <c r="L31" s="760"/>
      <c r="M31" s="81"/>
      <c r="N31" s="81"/>
      <c r="O31" s="81"/>
      <c r="S31" s="1257" t="s">
        <v>423</v>
      </c>
      <c r="T31" s="1257"/>
      <c r="U31" s="763"/>
      <c r="V31" s="1258" t="str">
        <f>IF(TITLE_NUMBER_PR_CHANGE="",IF(TITLE_NUMBER_PR="","",TITLE_NUMBER_PR),TITLE_NUMBER_PR_CHANGE)</f>
        <v/>
      </c>
      <c r="W31" s="1258"/>
      <c r="X31" s="1258"/>
      <c r="Y31" s="1258"/>
      <c r="Z31" s="1258"/>
      <c r="AA31" s="1258"/>
      <c r="AB31" s="1258"/>
      <c r="AC31" s="12"/>
      <c r="AD31" s="1258" t="str">
        <f>IF(TITLE_NUMBER_PR_CHANGE="",IF(TITLE_NUMBER_PR="","",TITLE_NUMBER_PR),TITLE_NUMBER_PR_CHANGE)</f>
        <v/>
      </c>
      <c r="AE31" s="1258"/>
      <c r="AF31" s="1258"/>
      <c r="AG31" s="1258"/>
      <c r="AH31" s="1258"/>
      <c r="AI31" s="1258"/>
      <c r="AJ31" s="1258"/>
      <c r="AK31" s="12"/>
      <c r="AL31" s="12"/>
      <c r="AM31" s="161"/>
      <c r="AN31" s="69"/>
      <c r="AO31" s="69"/>
      <c r="AP31" s="69"/>
      <c r="AQ31" s="69"/>
      <c r="AR31" s="69"/>
    </row>
    <row r="32" spans="1:44" s="36" customFormat="1" ht="18.75" hidden="1" customHeight="1">
      <c r="A32" s="81"/>
      <c r="B32" s="81"/>
      <c r="C32" s="81"/>
      <c r="D32" s="81"/>
      <c r="E32" s="81"/>
      <c r="F32" s="81"/>
      <c r="G32" s="81"/>
      <c r="H32" s="81"/>
      <c r="I32" s="81"/>
      <c r="J32" s="81"/>
      <c r="K32" s="81"/>
      <c r="L32" s="760"/>
      <c r="M32" s="81"/>
      <c r="N32" s="81"/>
      <c r="O32" s="81"/>
      <c r="S32" s="1257" t="s">
        <v>38</v>
      </c>
      <c r="T32" s="1257"/>
      <c r="U32" s="763"/>
      <c r="V32" s="1258" t="str">
        <f>IF(TITLE_IST_PUB_CHANGE="",IF(TITLE_IST_PUB="","",TITLE_IST_PUB),TITLE_IST_PUB_CHANGE)</f>
        <v/>
      </c>
      <c r="W32" s="1258"/>
      <c r="X32" s="1258"/>
      <c r="Y32" s="1258"/>
      <c r="Z32" s="1258"/>
      <c r="AA32" s="1258"/>
      <c r="AB32" s="1258"/>
      <c r="AC32" s="12"/>
      <c r="AD32" s="1258" t="str">
        <f>IF(TITLE_IST_PUB_CHANGE="",IF(TITLE_IST_PUB="","",TITLE_IST_PUB),TITLE_IST_PUB_CHANGE)</f>
        <v/>
      </c>
      <c r="AE32" s="1258"/>
      <c r="AF32" s="1258"/>
      <c r="AG32" s="1258"/>
      <c r="AH32" s="1258"/>
      <c r="AI32" s="1258"/>
      <c r="AJ32" s="1258"/>
      <c r="AK32" s="12"/>
      <c r="AL32" s="12"/>
      <c r="AM32" s="161"/>
      <c r="AN32" s="69"/>
      <c r="AO32" s="69"/>
      <c r="AP32" s="69"/>
      <c r="AQ32" s="69"/>
      <c r="AR32" s="69"/>
    </row>
    <row r="33" spans="1:44" ht="14.25" hidden="1" customHeight="1">
      <c r="Q33" s="29"/>
      <c r="R33" s="29"/>
      <c r="S33" s="729"/>
      <c r="T33" s="11"/>
      <c r="U33" s="11"/>
      <c r="V33" s="187"/>
      <c r="W33" s="187"/>
      <c r="X33" s="187"/>
      <c r="Y33" s="187"/>
      <c r="Z33" s="187"/>
      <c r="AA33" s="187"/>
      <c r="AB33" s="187"/>
      <c r="AC33" s="187"/>
      <c r="AD33" s="187"/>
      <c r="AE33" s="187"/>
      <c r="AF33" s="187"/>
      <c r="AG33" s="187"/>
      <c r="AH33" s="187"/>
      <c r="AI33" s="187"/>
      <c r="AJ33" s="187"/>
      <c r="AK33" s="187"/>
    </row>
    <row r="34" spans="1:44" s="36" customFormat="1" ht="18.75" hidden="1" customHeight="1">
      <c r="A34" s="81"/>
      <c r="B34" s="81"/>
      <c r="C34" s="81"/>
      <c r="D34" s="81"/>
      <c r="E34" s="81"/>
      <c r="F34" s="81"/>
      <c r="G34" s="81"/>
      <c r="H34" s="81"/>
      <c r="I34" s="81"/>
      <c r="J34" s="81"/>
      <c r="K34" s="81"/>
      <c r="L34" s="760"/>
      <c r="M34" s="81"/>
      <c r="N34" s="81"/>
      <c r="O34" s="81"/>
      <c r="S34" s="1257" t="s">
        <v>424</v>
      </c>
      <c r="T34" s="1257"/>
      <c r="U34" s="763"/>
      <c r="V34" s="1267" t="str">
        <f>IF(TITLE_DATE_PR_CHANGE="",IF(TITLE_DATE_PR="","",TITLE_DATE_PR),TITLE_DATE_PR_CHANGE)</f>
        <v/>
      </c>
      <c r="W34" s="1267"/>
      <c r="X34" s="1267"/>
      <c r="Y34" s="1267"/>
      <c r="Z34" s="1267"/>
      <c r="AA34" s="1267"/>
      <c r="AB34" s="1267"/>
      <c r="AC34" s="12"/>
      <c r="AD34" s="1267" t="str">
        <f>IF(TITLE_DATE_PR_CHANGE="",IF(TITLE_DATE_PR="","",TITLE_DATE_PR),TITLE_DATE_PR_CHANGE)</f>
        <v/>
      </c>
      <c r="AE34" s="1267"/>
      <c r="AF34" s="1267"/>
      <c r="AG34" s="1267"/>
      <c r="AH34" s="1267"/>
      <c r="AI34" s="1267"/>
      <c r="AJ34" s="1267"/>
      <c r="AK34" s="12"/>
      <c r="AL34" s="12"/>
      <c r="AM34" s="161"/>
      <c r="AN34" s="69"/>
      <c r="AO34" s="69"/>
      <c r="AP34" s="69"/>
      <c r="AQ34" s="69"/>
      <c r="AR34" s="69"/>
    </row>
    <row r="35" spans="1:44" s="36" customFormat="1" ht="18.75" hidden="1" customHeight="1">
      <c r="A35" s="81"/>
      <c r="B35" s="81"/>
      <c r="C35" s="81"/>
      <c r="D35" s="81"/>
      <c r="E35" s="81"/>
      <c r="F35" s="81"/>
      <c r="G35" s="81"/>
      <c r="H35" s="81"/>
      <c r="I35" s="81"/>
      <c r="J35" s="81"/>
      <c r="K35" s="81"/>
      <c r="L35" s="760"/>
      <c r="M35" s="81"/>
      <c r="N35" s="81"/>
      <c r="O35" s="81"/>
      <c r="S35" s="1257" t="s">
        <v>425</v>
      </c>
      <c r="T35" s="1257"/>
      <c r="U35" s="763"/>
      <c r="V35" s="1258" t="str">
        <f>IF(TITLE_NUMBER_PR_CHANGE="",IF(TITLE_NUMBER_PR="","",TITLE_NUMBER_PR),TITLE_NUMBER_PR_CHANGE)</f>
        <v/>
      </c>
      <c r="W35" s="1258"/>
      <c r="X35" s="1258"/>
      <c r="Y35" s="1258"/>
      <c r="Z35" s="1258"/>
      <c r="AA35" s="1258"/>
      <c r="AB35" s="1258"/>
      <c r="AC35" s="12"/>
      <c r="AD35" s="1258" t="str">
        <f>IF(TITLE_NUMBER_PR_CHANGE="",IF(TITLE_NUMBER_PR="","",TITLE_NUMBER_PR),TITLE_NUMBER_PR_CHANGE)</f>
        <v/>
      </c>
      <c r="AE35" s="1258"/>
      <c r="AF35" s="1258"/>
      <c r="AG35" s="1258"/>
      <c r="AH35" s="1258"/>
      <c r="AI35" s="1258"/>
      <c r="AJ35" s="1258"/>
      <c r="AK35" s="12"/>
      <c r="AL35" s="12"/>
      <c r="AM35" s="161"/>
      <c r="AN35" s="69"/>
      <c r="AO35" s="69"/>
      <c r="AP35" s="69"/>
      <c r="AQ35" s="69"/>
      <c r="AR35" s="69"/>
    </row>
    <row r="36" spans="1:44" s="36" customFormat="1" ht="0" hidden="1" customHeight="1">
      <c r="A36" s="81"/>
      <c r="B36" s="81"/>
      <c r="C36" s="81"/>
      <c r="D36" s="81"/>
      <c r="E36" s="81"/>
      <c r="F36" s="81"/>
      <c r="G36" s="81"/>
      <c r="H36" s="81"/>
      <c r="I36" s="81"/>
      <c r="J36" s="81"/>
      <c r="K36" s="81"/>
      <c r="L36" s="760"/>
      <c r="M36" s="81"/>
      <c r="N36" s="81"/>
      <c r="O36" s="81"/>
      <c r="S36" s="12"/>
      <c r="T36" s="12"/>
      <c r="U36" s="77"/>
      <c r="V36" s="12"/>
      <c r="W36" s="12"/>
      <c r="X36" s="12"/>
      <c r="Y36" s="12"/>
      <c r="Z36" s="12"/>
      <c r="AA36" s="12"/>
      <c r="AB36" s="12"/>
      <c r="AC36" s="68" t="s">
        <v>426</v>
      </c>
      <c r="AD36" s="12"/>
      <c r="AE36" s="12"/>
      <c r="AF36" s="12"/>
      <c r="AG36" s="12"/>
      <c r="AH36" s="12"/>
      <c r="AI36" s="12"/>
      <c r="AJ36" s="12"/>
      <c r="AK36" s="68" t="s">
        <v>426</v>
      </c>
      <c r="AN36" s="69"/>
      <c r="AO36" s="69"/>
      <c r="AP36" s="69"/>
      <c r="AQ36" s="69"/>
      <c r="AR36" s="69"/>
    </row>
    <row r="37" spans="1:44" ht="14.25" customHeight="1">
      <c r="Q37" s="29"/>
      <c r="R37" s="29"/>
      <c r="S37" s="729"/>
      <c r="T37" s="11"/>
      <c r="U37" s="709"/>
      <c r="V37" s="1259"/>
      <c r="W37" s="1259"/>
      <c r="X37" s="1259"/>
      <c r="Y37" s="1259"/>
      <c r="Z37" s="1259"/>
      <c r="AA37" s="1259"/>
      <c r="AB37" s="1259"/>
      <c r="AC37" s="1259"/>
      <c r="AD37" s="1259"/>
      <c r="AE37" s="1259"/>
      <c r="AF37" s="1259"/>
      <c r="AG37" s="1259"/>
      <c r="AH37" s="1259"/>
      <c r="AI37" s="1259"/>
      <c r="AJ37" s="1259"/>
      <c r="AK37" s="1259"/>
    </row>
    <row r="38" spans="1:44" ht="14.25" customHeight="1">
      <c r="Q38" s="29"/>
      <c r="R38" s="29"/>
      <c r="S38" s="1146" t="s">
        <v>299</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300</v>
      </c>
    </row>
    <row r="39" spans="1:44" ht="14.25" customHeight="1">
      <c r="Q39" s="29"/>
      <c r="R39" s="29"/>
      <c r="S39" s="1273" t="s">
        <v>84</v>
      </c>
      <c r="T39" s="1224" t="s">
        <v>427</v>
      </c>
      <c r="U39" s="170"/>
      <c r="V39" s="1274" t="s">
        <v>428</v>
      </c>
      <c r="W39" s="1275"/>
      <c r="X39" s="1291"/>
      <c r="Y39" s="1291"/>
      <c r="Z39" s="1275"/>
      <c r="AA39" s="1275"/>
      <c r="AB39" s="1276"/>
      <c r="AC39" s="1277" t="s">
        <v>429</v>
      </c>
      <c r="AD39" s="1274" t="s">
        <v>428</v>
      </c>
      <c r="AE39" s="1275"/>
      <c r="AF39" s="1291"/>
      <c r="AG39" s="1291"/>
      <c r="AH39" s="1275"/>
      <c r="AI39" s="1275"/>
      <c r="AJ39" s="1276"/>
      <c r="AK39" s="1277" t="s">
        <v>430</v>
      </c>
      <c r="AL39" s="1280" t="s">
        <v>431</v>
      </c>
      <c r="AM39" s="1146"/>
    </row>
    <row r="40" spans="1:44" ht="23.25" customHeight="1">
      <c r="Q40" s="29"/>
      <c r="R40" s="29"/>
      <c r="S40" s="1273"/>
      <c r="T40" s="1224"/>
      <c r="U40" s="595"/>
      <c r="V40" s="1292" t="s">
        <v>432</v>
      </c>
      <c r="W40" s="1210" t="s">
        <v>433</v>
      </c>
      <c r="X40" s="315" t="s">
        <v>434</v>
      </c>
      <c r="Y40" s="315"/>
      <c r="Z40" s="1122" t="s">
        <v>435</v>
      </c>
      <c r="AA40" s="1122"/>
      <c r="AB40" s="1116"/>
      <c r="AC40" s="1278"/>
      <c r="AD40" s="1292" t="s">
        <v>432</v>
      </c>
      <c r="AE40" s="1210" t="s">
        <v>433</v>
      </c>
      <c r="AF40" s="315" t="s">
        <v>434</v>
      </c>
      <c r="AG40" s="315"/>
      <c r="AH40" s="1122" t="s">
        <v>435</v>
      </c>
      <c r="AI40" s="1122"/>
      <c r="AJ40" s="1116"/>
      <c r="AK40" s="1278"/>
      <c r="AL40" s="1281"/>
      <c r="AM40" s="1146"/>
    </row>
    <row r="41" spans="1:44" s="18" customFormat="1" ht="23.25" customHeight="1">
      <c r="A41" s="81"/>
      <c r="B41" s="81" t="s">
        <v>136</v>
      </c>
      <c r="C41" s="81" t="s">
        <v>137</v>
      </c>
      <c r="D41" s="81" t="s">
        <v>138</v>
      </c>
      <c r="E41" s="760" t="s">
        <v>436</v>
      </c>
      <c r="F41" s="760" t="s">
        <v>437</v>
      </c>
      <c r="G41" s="760" t="s">
        <v>438</v>
      </c>
      <c r="H41" s="760" t="s">
        <v>439</v>
      </c>
      <c r="I41" s="760" t="s">
        <v>440</v>
      </c>
      <c r="J41" s="760" t="s">
        <v>441</v>
      </c>
      <c r="K41" s="760" t="s">
        <v>442</v>
      </c>
      <c r="L41" s="760" t="s">
        <v>417</v>
      </c>
      <c r="M41" s="497"/>
      <c r="N41" s="497"/>
      <c r="O41" s="497"/>
      <c r="P41" s="34"/>
      <c r="Q41" s="29"/>
      <c r="R41" s="29"/>
      <c r="S41" s="1273"/>
      <c r="T41" s="1224"/>
      <c r="U41" s="171"/>
      <c r="V41" s="1293"/>
      <c r="W41" s="1215"/>
      <c r="X41" s="314" t="s">
        <v>443</v>
      </c>
      <c r="Y41" s="314" t="s">
        <v>444</v>
      </c>
      <c r="Z41" s="753" t="s">
        <v>445</v>
      </c>
      <c r="AA41" s="1233" t="s">
        <v>446</v>
      </c>
      <c r="AB41" s="1235"/>
      <c r="AC41" s="1279"/>
      <c r="AD41" s="1293"/>
      <c r="AE41" s="1215"/>
      <c r="AF41" s="314" t="s">
        <v>443</v>
      </c>
      <c r="AG41" s="314" t="s">
        <v>444</v>
      </c>
      <c r="AH41" s="753" t="s">
        <v>445</v>
      </c>
      <c r="AI41" s="1233" t="s">
        <v>446</v>
      </c>
      <c r="AJ41" s="1235"/>
      <c r="AK41" s="1279"/>
      <c r="AL41" s="1282"/>
      <c r="AM41" s="1146"/>
      <c r="AN41" s="68"/>
      <c r="AO41" s="69"/>
      <c r="AP41" s="69"/>
      <c r="AQ41" s="69"/>
      <c r="AR41" s="69"/>
    </row>
    <row r="42" spans="1:44" s="201" customFormat="1" ht="11.25" hidden="1" customHeight="1">
      <c r="A42" s="81"/>
      <c r="B42" s="81"/>
      <c r="C42" s="81"/>
      <c r="D42" s="81"/>
      <c r="E42" s="81"/>
      <c r="F42" s="81"/>
      <c r="G42" s="81"/>
      <c r="H42" s="81"/>
      <c r="I42" s="81"/>
      <c r="J42" s="81"/>
      <c r="K42" s="81"/>
      <c r="L42" s="760"/>
      <c r="M42" s="497"/>
      <c r="N42" s="497"/>
      <c r="O42" s="497"/>
      <c r="P42" s="711"/>
      <c r="Q42" s="712"/>
      <c r="R42" s="714">
        <v>1</v>
      </c>
      <c r="S42" s="731" t="s">
        <v>105</v>
      </c>
      <c r="T42" s="715" t="s">
        <v>106</v>
      </c>
      <c r="U42" s="710" t="str">
        <f ca="1">OFFSET(U42,0,-1)</f>
        <v>2</v>
      </c>
      <c r="V42" s="716">
        <f ca="1">OFFSET(V42,0,-1)+1</f>
        <v>3</v>
      </c>
      <c r="W42" s="716"/>
      <c r="X42" s="284">
        <f ca="1">OFFSET(X42,0,-1)+1</f>
        <v>1</v>
      </c>
      <c r="Y42" s="284">
        <f ca="1">OFFSET(Y42,0,-1)+1</f>
        <v>2</v>
      </c>
      <c r="Z42" s="716">
        <f ca="1">OFFSET(Z42,0,-1)+1</f>
        <v>3</v>
      </c>
      <c r="AA42" s="1272">
        <f ca="1">OFFSET(AA42,0,-1)+1</f>
        <v>4</v>
      </c>
      <c r="AB42" s="1272"/>
      <c r="AC42" s="716">
        <f ca="1">OFFSET(AC42,0,-2)+1</f>
        <v>5</v>
      </c>
      <c r="AD42" s="716">
        <f ca="1">OFFSET(AD42,0,-1)+1</f>
        <v>6</v>
      </c>
      <c r="AE42" s="716"/>
      <c r="AF42" s="284">
        <f ca="1">OFFSET(AF42,0,-1)+1</f>
        <v>1</v>
      </c>
      <c r="AG42" s="284">
        <f ca="1">OFFSET(AG42,0,-1)+1</f>
        <v>2</v>
      </c>
      <c r="AH42" s="716">
        <f ca="1">OFFSET(AH42,0,-1)+1</f>
        <v>3</v>
      </c>
      <c r="AI42" s="1272">
        <f ca="1">OFFSET(AI42,0,-1)+1</f>
        <v>4</v>
      </c>
      <c r="AJ42" s="1272"/>
      <c r="AK42" s="716">
        <f ca="1">OFFSET(AK42,0,-2)+1</f>
        <v>5</v>
      </c>
      <c r="AL42" s="710">
        <f ca="1">OFFSET(AL42,0,-1)</f>
        <v>5</v>
      </c>
      <c r="AM42" s="716">
        <f ca="1">OFFSET(AM42,0,-1)+1</f>
        <v>6</v>
      </c>
      <c r="AN42" s="68"/>
      <c r="AO42" s="68"/>
      <c r="AP42" s="68"/>
      <c r="AQ42" s="68"/>
      <c r="AR42" s="68"/>
    </row>
    <row r="43" spans="1:44" ht="21" customHeight="1">
      <c r="A43" s="759" t="s">
        <v>193</v>
      </c>
      <c r="B43" s="759"/>
      <c r="C43" s="759"/>
      <c r="D43" s="759"/>
      <c r="E43" s="1265">
        <v>1</v>
      </c>
      <c r="F43" s="759"/>
      <c r="G43" s="759"/>
      <c r="H43" s="759"/>
      <c r="I43" s="759"/>
      <c r="J43" s="759"/>
      <c r="K43" s="759"/>
      <c r="L43" s="760"/>
      <c r="M43" s="417"/>
      <c r="N43" s="417"/>
      <c r="O43" s="417"/>
      <c r="Q43" s="35"/>
      <c r="R43" s="205"/>
      <c r="S43" s="698">
        <f>INDEX(PT_DIFFERENTIATION_NUM_NTAR,MATCH(A43,PT_DIFFERENTIATION_NTAR_ID,0))</f>
        <v>0</v>
      </c>
      <c r="T43" s="67" t="s">
        <v>124</v>
      </c>
      <c r="U43" s="169"/>
      <c r="V43" s="1251"/>
      <c r="W43" s="1252"/>
      <c r="X43" s="1252"/>
      <c r="Y43" s="1252"/>
      <c r="Z43" s="1252"/>
      <c r="AA43" s="1252"/>
      <c r="AB43" s="1252"/>
      <c r="AC43" s="1253"/>
      <c r="AD43" s="1251" t="str">
        <f>INDEX(PT_DIFFERENTIATION_NTAR,MATCH(A43,PT_DIFFERENTIATION_NTAR_ID,0))</f>
        <v/>
      </c>
      <c r="AE43" s="1252"/>
      <c r="AF43" s="1252"/>
      <c r="AG43" s="1252"/>
      <c r="AH43" s="1252"/>
      <c r="AI43" s="1252"/>
      <c r="AJ43" s="1252"/>
      <c r="AK43" s="1252"/>
      <c r="AL43" s="1253"/>
      <c r="AM43" s="71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row>
    <row r="44" spans="1:44" ht="21" customHeight="1">
      <c r="A44" s="759" t="s">
        <v>193</v>
      </c>
      <c r="B44" s="759" t="s">
        <v>194</v>
      </c>
      <c r="C44" s="759"/>
      <c r="D44" s="759"/>
      <c r="E44" s="1266"/>
      <c r="F44" s="1265">
        <v>1</v>
      </c>
      <c r="G44" s="759"/>
      <c r="H44" s="759"/>
      <c r="I44" s="759"/>
      <c r="J44" s="759"/>
      <c r="K44" s="759"/>
      <c r="L44" s="760"/>
      <c r="M44" s="417"/>
      <c r="N44" s="417"/>
      <c r="O44" s="417"/>
      <c r="P44" s="59"/>
      <c r="Q44" s="202"/>
      <c r="R44" s="203"/>
      <c r="S44" s="698" t="str">
        <f>INDEX(PT_DIFFERENTIATION_NUM_TER,MATCH(B44,PT_DIFFERENTIATION_TER_ID,0))</f>
        <v>.</v>
      </c>
      <c r="T44" s="175" t="s">
        <v>396</v>
      </c>
      <c r="U44" s="169"/>
      <c r="V44" s="1251"/>
      <c r="W44" s="1252"/>
      <c r="X44" s="1252"/>
      <c r="Y44" s="1252"/>
      <c r="Z44" s="1252"/>
      <c r="AA44" s="1252"/>
      <c r="AB44" s="1252"/>
      <c r="AC44" s="1253"/>
      <c r="AD44" s="1251" t="str">
        <f>INDEX(PT_DIFFERENTIATION_TER,MATCH(B44,PT_DIFFERENTIATION_TER_ID,0))</f>
        <v/>
      </c>
      <c r="AE44" s="1252"/>
      <c r="AF44" s="1252"/>
      <c r="AG44" s="1252"/>
      <c r="AH44" s="1252"/>
      <c r="AI44" s="1252"/>
      <c r="AJ44" s="1252"/>
      <c r="AK44" s="1252"/>
      <c r="AL44" s="1253"/>
      <c r="AM44" s="718" t="s">
        <v>397</v>
      </c>
      <c r="AO44" s="69"/>
      <c r="AP44" s="69" t="str">
        <f t="shared" si="1"/>
        <v>Территория действия тарифа</v>
      </c>
      <c r="AQ44" s="69"/>
      <c r="AR44" s="69"/>
    </row>
    <row r="45" spans="1:44" ht="23.25" customHeight="1">
      <c r="A45" s="759" t="s">
        <v>193</v>
      </c>
      <c r="B45" s="759" t="s">
        <v>194</v>
      </c>
      <c r="C45" s="759" t="s">
        <v>195</v>
      </c>
      <c r="D45" s="759"/>
      <c r="E45" s="1266"/>
      <c r="F45" s="1266"/>
      <c r="G45" s="1265">
        <v>1</v>
      </c>
      <c r="H45" s="759"/>
      <c r="I45" s="759"/>
      <c r="J45" s="759"/>
      <c r="K45" s="759"/>
      <c r="L45" s="760"/>
      <c r="M45" s="417"/>
      <c r="N45" s="417"/>
      <c r="O45" s="417"/>
      <c r="P45" s="204"/>
      <c r="Q45" s="202"/>
      <c r="R45" s="203"/>
      <c r="S45" s="698" t="str">
        <f>INDEX(PT_DIFFERENTIATION_NUM_CS,MATCH(C45,PT_DIFFERENTIATION_CS_ID,0))</f>
        <v>..</v>
      </c>
      <c r="T45" s="176" t="s">
        <v>398</v>
      </c>
      <c r="U45" s="169"/>
      <c r="V45" s="1251"/>
      <c r="W45" s="1252"/>
      <c r="X45" s="1252"/>
      <c r="Y45" s="1252"/>
      <c r="Z45" s="1252"/>
      <c r="AA45" s="1252"/>
      <c r="AB45" s="1252"/>
      <c r="AC45" s="1253"/>
      <c r="AD45" s="1251" t="str">
        <f>INDEX(PT_DIFFERENTIATION_CS,MATCH(C45,PT_DIFFERENTIATION_CS_ID,0))</f>
        <v/>
      </c>
      <c r="AE45" s="1252"/>
      <c r="AF45" s="1252"/>
      <c r="AG45" s="1252"/>
      <c r="AH45" s="1252"/>
      <c r="AI45" s="1252"/>
      <c r="AJ45" s="1252"/>
      <c r="AK45" s="1252"/>
      <c r="AL45" s="1253"/>
      <c r="AM45" s="718" t="s">
        <v>399</v>
      </c>
      <c r="AO45" s="69"/>
      <c r="AP45" s="69" t="str">
        <f t="shared" si="1"/>
        <v xml:space="preserve">Наименование системы теплоснабжения </v>
      </c>
      <c r="AQ45" s="69"/>
      <c r="AR45" s="69"/>
    </row>
    <row r="46" spans="1:44" ht="21" customHeight="1">
      <c r="A46" s="759" t="s">
        <v>193</v>
      </c>
      <c r="B46" s="759" t="s">
        <v>194</v>
      </c>
      <c r="C46" s="759" t="s">
        <v>195</v>
      </c>
      <c r="D46" s="759" t="s">
        <v>196</v>
      </c>
      <c r="E46" s="1266"/>
      <c r="F46" s="1266"/>
      <c r="G46" s="1266"/>
      <c r="H46" s="1265">
        <v>1</v>
      </c>
      <c r="I46" s="759"/>
      <c r="J46" s="759"/>
      <c r="K46" s="759"/>
      <c r="L46" s="760"/>
      <c r="M46" s="417"/>
      <c r="N46" s="417"/>
      <c r="O46" s="417"/>
      <c r="P46" s="204"/>
      <c r="Q46" s="202"/>
      <c r="R46" s="203"/>
      <c r="S46" s="698" t="str">
        <f>INDEX(PT_DIFFERENTIATION_NUM_IST_TE,MATCH(D46,PT_DIFFERENTIATION_IST_TE_ID,0))</f>
        <v>...</v>
      </c>
      <c r="T46" s="177" t="s">
        <v>400</v>
      </c>
      <c r="U46" s="169"/>
      <c r="V46" s="1251"/>
      <c r="W46" s="1252"/>
      <c r="X46" s="1252"/>
      <c r="Y46" s="1252"/>
      <c r="Z46" s="1252"/>
      <c r="AA46" s="1252"/>
      <c r="AB46" s="1252"/>
      <c r="AC46" s="1253"/>
      <c r="AD46" s="1251" t="str">
        <f>INDEX(PT_DIFFERENTIATION_IST_TE,MATCH(D46,PT_DIFFERENTIATION_IST_TE_ID,0))</f>
        <v/>
      </c>
      <c r="AE46" s="1252"/>
      <c r="AF46" s="1252"/>
      <c r="AG46" s="1252"/>
      <c r="AH46" s="1252"/>
      <c r="AI46" s="1252"/>
      <c r="AJ46" s="1252"/>
      <c r="AK46" s="1252"/>
      <c r="AL46" s="1253"/>
      <c r="AM46" s="718" t="s">
        <v>401</v>
      </c>
      <c r="AO46" s="69"/>
      <c r="AP46" s="69" t="str">
        <f t="shared" si="1"/>
        <v xml:space="preserve">Источник тепловой энергии  </v>
      </c>
      <c r="AQ46" s="69"/>
      <c r="AR46" s="69"/>
    </row>
    <row r="47" spans="1:44" ht="47.25" customHeight="1">
      <c r="A47" s="759" t="s">
        <v>193</v>
      </c>
      <c r="B47" s="759" t="s">
        <v>194</v>
      </c>
      <c r="C47" s="759" t="s">
        <v>195</v>
      </c>
      <c r="D47" s="759" t="s">
        <v>196</v>
      </c>
      <c r="E47" s="1266"/>
      <c r="F47" s="1266"/>
      <c r="G47" s="1266"/>
      <c r="H47" s="1266"/>
      <c r="I47" s="1263" t="str">
        <f>S46&amp;".1"</f>
        <v>....1</v>
      </c>
      <c r="J47" s="759"/>
      <c r="K47" s="759"/>
      <c r="L47" s="760" t="s">
        <v>402</v>
      </c>
      <c r="P47" s="1264">
        <v>1</v>
      </c>
      <c r="Q47" s="120"/>
      <c r="R47" s="206"/>
      <c r="S47" s="698" t="str">
        <f>$I47</f>
        <v>....1</v>
      </c>
      <c r="T47" s="162" t="s">
        <v>403</v>
      </c>
      <c r="U47" s="169"/>
      <c r="V47" s="1254"/>
      <c r="W47" s="1255"/>
      <c r="X47" s="1255"/>
      <c r="Y47" s="1255"/>
      <c r="Z47" s="1255"/>
      <c r="AA47" s="1255"/>
      <c r="AB47" s="1255"/>
      <c r="AC47" s="1256"/>
      <c r="AD47" s="1254"/>
      <c r="AE47" s="1255"/>
      <c r="AF47" s="1255"/>
      <c r="AG47" s="1255"/>
      <c r="AH47" s="1255"/>
      <c r="AI47" s="1255"/>
      <c r="AJ47" s="1255"/>
      <c r="AK47" s="1255"/>
      <c r="AL47" s="1256"/>
      <c r="AM47" s="718" t="s">
        <v>404</v>
      </c>
      <c r="AO47" s="69"/>
      <c r="AP47" s="69" t="str">
        <f t="shared" si="1"/>
        <v>Схема подключения теплопотребляющей установки к коллектору источника тепловой энергии</v>
      </c>
      <c r="AQ47" s="69"/>
      <c r="AR47" s="69"/>
    </row>
    <row r="48" spans="1:44" ht="21" customHeight="1">
      <c r="A48" s="759" t="s">
        <v>193</v>
      </c>
      <c r="B48" s="759" t="s">
        <v>194</v>
      </c>
      <c r="C48" s="759" t="s">
        <v>195</v>
      </c>
      <c r="D48" s="759" t="s">
        <v>196</v>
      </c>
      <c r="E48" s="1266"/>
      <c r="F48" s="1266"/>
      <c r="G48" s="1266"/>
      <c r="H48" s="1266"/>
      <c r="I48" s="1286"/>
      <c r="J48" s="1263" t="str">
        <f>I47&amp;".1"</f>
        <v>....1.1</v>
      </c>
      <c r="K48" s="759"/>
      <c r="L48" s="760" t="s">
        <v>405</v>
      </c>
      <c r="P48" s="1264"/>
      <c r="Q48" s="1264">
        <v>1</v>
      </c>
      <c r="R48" s="207"/>
      <c r="S48" s="698" t="str">
        <f>$J48</f>
        <v>....1.1</v>
      </c>
      <c r="T48" s="163" t="s">
        <v>406</v>
      </c>
      <c r="U48" s="169"/>
      <c r="V48" s="1254"/>
      <c r="W48" s="1255"/>
      <c r="X48" s="1255"/>
      <c r="Y48" s="1255"/>
      <c r="Z48" s="1255"/>
      <c r="AA48" s="1255"/>
      <c r="AB48" s="1255"/>
      <c r="AC48" s="1256"/>
      <c r="AD48" s="1254"/>
      <c r="AE48" s="1255"/>
      <c r="AF48" s="1255"/>
      <c r="AG48" s="1255"/>
      <c r="AH48" s="1255"/>
      <c r="AI48" s="1255"/>
      <c r="AJ48" s="1255"/>
      <c r="AK48" s="1255"/>
      <c r="AL48" s="1256"/>
      <c r="AM48" s="718" t="s">
        <v>407</v>
      </c>
      <c r="AO48" s="69"/>
      <c r="AP48" s="69" t="str">
        <f t="shared" si="1"/>
        <v>Группа потребителей</v>
      </c>
      <c r="AQ48" s="69"/>
      <c r="AR48" s="69"/>
    </row>
    <row r="49" spans="1:44" ht="21" customHeight="1">
      <c r="A49" s="759" t="s">
        <v>193</v>
      </c>
      <c r="B49" s="759" t="s">
        <v>194</v>
      </c>
      <c r="C49" s="759" t="s">
        <v>195</v>
      </c>
      <c r="D49" s="759" t="s">
        <v>196</v>
      </c>
      <c r="E49" s="1266"/>
      <c r="F49" s="1266"/>
      <c r="G49" s="1266"/>
      <c r="H49" s="1266"/>
      <c r="I49" s="1286"/>
      <c r="J49" s="1286"/>
      <c r="K49" s="1263" t="str">
        <f>J48&amp;".1"</f>
        <v>....1.1.1</v>
      </c>
      <c r="L49" s="760" t="s">
        <v>408</v>
      </c>
      <c r="P49" s="1264"/>
      <c r="Q49" s="1264"/>
      <c r="R49" s="207">
        <v>1</v>
      </c>
      <c r="S49" s="698" t="str">
        <f>$K49</f>
        <v>....1.1.1</v>
      </c>
      <c r="T49" s="755"/>
      <c r="U49" s="169"/>
      <c r="V49" s="189"/>
      <c r="W49" s="304"/>
      <c r="X49" s="189"/>
      <c r="Y49" s="217"/>
      <c r="Z49" s="1268"/>
      <c r="AA49" s="1127" t="s">
        <v>62</v>
      </c>
      <c r="AB49" s="1268"/>
      <c r="AC49" s="1127" t="s">
        <v>62</v>
      </c>
      <c r="AD49" s="189"/>
      <c r="AE49" s="304"/>
      <c r="AF49" s="189"/>
      <c r="AG49" s="217"/>
      <c r="AH49" s="1268"/>
      <c r="AI49" s="1127" t="s">
        <v>62</v>
      </c>
      <c r="AJ49" s="1287"/>
      <c r="AK49" s="1127" t="s">
        <v>62</v>
      </c>
      <c r="AL49" s="756"/>
      <c r="AM49" s="1260" t="s">
        <v>409</v>
      </c>
      <c r="AN49" s="68" t="e">
        <f ca="1">STRCHECKDATE(V50:AL50)</f>
        <v>#NAME?</v>
      </c>
      <c r="AO49" s="69"/>
      <c r="AP49" s="69" t="str">
        <f t="shared" si="1"/>
        <v/>
      </c>
      <c r="AQ49" s="69"/>
      <c r="AR49" s="69"/>
    </row>
    <row r="50" spans="1:44" ht="0.75" customHeight="1">
      <c r="A50" s="759" t="s">
        <v>193</v>
      </c>
      <c r="B50" s="759" t="s">
        <v>194</v>
      </c>
      <c r="C50" s="759" t="s">
        <v>195</v>
      </c>
      <c r="D50" s="759" t="s">
        <v>196</v>
      </c>
      <c r="E50" s="1266"/>
      <c r="F50" s="1266"/>
      <c r="G50" s="1266"/>
      <c r="H50" s="1266"/>
      <c r="I50" s="1286"/>
      <c r="J50" s="1286"/>
      <c r="K50" s="1263"/>
      <c r="L50" s="760"/>
      <c r="P50" s="1264"/>
      <c r="Q50" s="1264"/>
      <c r="R50" s="207"/>
      <c r="S50" s="65"/>
      <c r="T50" s="169"/>
      <c r="U50" s="169"/>
      <c r="V50" s="189"/>
      <c r="W50" s="189"/>
      <c r="X50" s="189"/>
      <c r="Y50" s="190" t="str">
        <f>Z49&amp;"-"&amp;AB49</f>
        <v>-</v>
      </c>
      <c r="Z50" s="1269"/>
      <c r="AA50" s="1127"/>
      <c r="AB50" s="1269"/>
      <c r="AC50" s="1127"/>
      <c r="AD50" s="189"/>
      <c r="AE50" s="189"/>
      <c r="AF50" s="189"/>
      <c r="AG50" s="190" t="str">
        <f>AH49&amp;"-"&amp;AJ49</f>
        <v>-</v>
      </c>
      <c r="AH50" s="1269"/>
      <c r="AI50" s="1127"/>
      <c r="AJ50" s="1288"/>
      <c r="AK50" s="1127"/>
      <c r="AL50" s="757"/>
      <c r="AM50" s="1261"/>
      <c r="AO50" s="69"/>
      <c r="AP50" s="69" t="str">
        <f t="shared" si="1"/>
        <v/>
      </c>
      <c r="AQ50" s="69"/>
      <c r="AR50" s="69"/>
    </row>
    <row r="51" spans="1:44" ht="11.25" customHeight="1">
      <c r="A51" s="759" t="s">
        <v>193</v>
      </c>
      <c r="B51" s="759" t="s">
        <v>194</v>
      </c>
      <c r="C51" s="759" t="s">
        <v>195</v>
      </c>
      <c r="D51" s="759" t="s">
        <v>196</v>
      </c>
      <c r="E51" s="1266"/>
      <c r="F51" s="1266"/>
      <c r="G51" s="1266"/>
      <c r="H51" s="1266"/>
      <c r="I51" s="1286"/>
      <c r="J51" s="1263"/>
      <c r="K51" s="759"/>
      <c r="L51" s="760"/>
      <c r="P51" s="1264"/>
      <c r="Q51" s="1264"/>
      <c r="R51" s="206"/>
      <c r="S51" s="732"/>
      <c r="T51" s="165" t="s">
        <v>410</v>
      </c>
      <c r="U51" s="211"/>
      <c r="V51" s="211"/>
      <c r="W51" s="211"/>
      <c r="X51" s="211"/>
      <c r="Y51" s="211"/>
      <c r="Z51" s="211"/>
      <c r="AA51" s="211"/>
      <c r="AB51" s="211"/>
      <c r="AC51" s="211"/>
      <c r="AD51" s="211"/>
      <c r="AE51" s="211"/>
      <c r="AF51" s="211"/>
      <c r="AG51" s="211"/>
      <c r="AH51" s="211"/>
      <c r="AI51" s="211"/>
      <c r="AJ51" s="211"/>
      <c r="AK51" s="211"/>
      <c r="AL51" s="188"/>
      <c r="AM51" s="1262"/>
      <c r="AO51" s="69"/>
      <c r="AP51" s="69" t="str">
        <f t="shared" si="1"/>
        <v>Добавить вид теплоносителя (параметры теплоносителя)</v>
      </c>
      <c r="AQ51" s="69"/>
      <c r="AR51" s="69"/>
    </row>
    <row r="52" spans="1:44" ht="11.25" customHeight="1">
      <c r="A52" s="759" t="s">
        <v>193</v>
      </c>
      <c r="B52" s="759" t="s">
        <v>194</v>
      </c>
      <c r="C52" s="759" t="s">
        <v>195</v>
      </c>
      <c r="D52" s="759" t="s">
        <v>196</v>
      </c>
      <c r="E52" s="1266"/>
      <c r="F52" s="1266"/>
      <c r="G52" s="1266"/>
      <c r="H52" s="1266"/>
      <c r="I52" s="1263"/>
      <c r="J52" s="759"/>
      <c r="K52" s="759"/>
      <c r="L52" s="760"/>
      <c r="P52" s="1264"/>
      <c r="Q52" s="120"/>
      <c r="R52" s="206"/>
      <c r="S52" s="732"/>
      <c r="T52" s="164" t="s">
        <v>411</v>
      </c>
      <c r="U52" s="211"/>
      <c r="V52" s="211"/>
      <c r="W52" s="211"/>
      <c r="X52" s="211"/>
      <c r="Y52" s="211"/>
      <c r="Z52" s="211"/>
      <c r="AA52" s="211"/>
      <c r="AB52" s="211"/>
      <c r="AC52" s="210"/>
      <c r="AD52" s="211"/>
      <c r="AE52" s="211"/>
      <c r="AF52" s="211"/>
      <c r="AG52" s="211"/>
      <c r="AH52" s="211"/>
      <c r="AI52" s="211"/>
      <c r="AJ52" s="211"/>
      <c r="AK52" s="210"/>
      <c r="AL52" s="211"/>
      <c r="AM52" s="172"/>
      <c r="AO52" s="69"/>
      <c r="AP52" s="69" t="str">
        <f t="shared" si="1"/>
        <v>Добавить группу потребителей</v>
      </c>
      <c r="AQ52" s="69"/>
      <c r="AR52" s="69"/>
    </row>
    <row r="53" spans="1:44" ht="14.25" customHeight="1">
      <c r="A53" s="759" t="s">
        <v>193</v>
      </c>
      <c r="B53" s="759" t="s">
        <v>194</v>
      </c>
      <c r="C53" s="759" t="s">
        <v>195</v>
      </c>
      <c r="D53" s="759" t="s">
        <v>196</v>
      </c>
      <c r="E53" s="1266"/>
      <c r="F53" s="1266"/>
      <c r="G53" s="1266"/>
      <c r="H53" s="1265"/>
      <c r="I53" s="759"/>
      <c r="J53" s="759"/>
      <c r="K53" s="759"/>
      <c r="L53" s="760"/>
      <c r="M53" s="417"/>
      <c r="N53" s="417"/>
      <c r="O53" s="63"/>
      <c r="P53" s="35"/>
      <c r="Q53" s="214"/>
      <c r="R53" s="205"/>
      <c r="S53" s="732"/>
      <c r="T53" s="209" t="s">
        <v>412</v>
      </c>
      <c r="U53" s="211"/>
      <c r="V53" s="211"/>
      <c r="W53" s="211"/>
      <c r="X53" s="211"/>
      <c r="Y53" s="211"/>
      <c r="Z53" s="211"/>
      <c r="AA53" s="211"/>
      <c r="AB53" s="211"/>
      <c r="AC53" s="210"/>
      <c r="AD53" s="211"/>
      <c r="AE53" s="211"/>
      <c r="AF53" s="211"/>
      <c r="AG53" s="211"/>
      <c r="AH53" s="211"/>
      <c r="AI53" s="211"/>
      <c r="AJ53" s="211"/>
      <c r="AK53" s="210"/>
      <c r="AL53" s="211"/>
      <c r="AM53" s="172"/>
      <c r="AO53" s="69"/>
      <c r="AP53" s="69" t="str">
        <f t="shared" si="1"/>
        <v>Добавить схему подключения</v>
      </c>
      <c r="AQ53" s="69"/>
      <c r="AR53" s="69"/>
    </row>
    <row r="54" spans="1:44" s="68" customFormat="1" ht="0.75" customHeight="1">
      <c r="A54" s="143" t="s">
        <v>193</v>
      </c>
      <c r="B54" s="143" t="s">
        <v>194</v>
      </c>
      <c r="C54" s="143" t="s">
        <v>195</v>
      </c>
      <c r="D54" s="143"/>
      <c r="E54" s="1266"/>
      <c r="F54" s="1266"/>
      <c r="G54" s="1265"/>
      <c r="H54" s="143"/>
      <c r="I54" s="143"/>
      <c r="J54" s="143"/>
      <c r="K54" s="143"/>
      <c r="L54" s="338"/>
      <c r="M54" s="291"/>
      <c r="N54" s="291"/>
      <c r="P54" s="102"/>
      <c r="Q54" s="745"/>
      <c r="R54" s="102"/>
      <c r="S54" s="750"/>
      <c r="T54" s="752" t="s">
        <v>413</v>
      </c>
      <c r="U54" s="311"/>
      <c r="V54" s="311"/>
      <c r="W54" s="311"/>
      <c r="X54" s="311"/>
      <c r="Y54" s="311"/>
      <c r="Z54" s="311"/>
      <c r="AA54" s="311"/>
      <c r="AB54" s="311"/>
      <c r="AC54" s="311"/>
      <c r="AD54" s="311"/>
      <c r="AE54" s="311"/>
      <c r="AF54" s="311"/>
      <c r="AG54" s="311"/>
      <c r="AH54" s="311"/>
      <c r="AI54" s="311"/>
      <c r="AJ54" s="311"/>
      <c r="AK54" s="311"/>
      <c r="AL54" s="311"/>
      <c r="AM54" s="311"/>
      <c r="AO54" s="69"/>
      <c r="AP54" s="69" t="str">
        <f t="shared" si="1"/>
        <v>Добавить источник для дифференциации</v>
      </c>
      <c r="AQ54" s="69"/>
      <c r="AR54" s="69"/>
    </row>
    <row r="55" spans="1:44" s="68" customFormat="1" ht="0.75" customHeight="1">
      <c r="A55" s="143" t="s">
        <v>193</v>
      </c>
      <c r="B55" s="143" t="s">
        <v>194</v>
      </c>
      <c r="C55" s="143"/>
      <c r="D55" s="143"/>
      <c r="E55" s="1266"/>
      <c r="F55" s="1265"/>
      <c r="G55" s="143"/>
      <c r="H55" s="143"/>
      <c r="I55" s="143"/>
      <c r="J55" s="143"/>
      <c r="K55" s="143"/>
      <c r="L55" s="338"/>
      <c r="M55" s="749"/>
      <c r="N55" s="749"/>
      <c r="P55" s="102"/>
      <c r="Q55" s="745"/>
      <c r="R55" s="102"/>
      <c r="S55" s="750"/>
      <c r="T55" s="752" t="s">
        <v>414</v>
      </c>
      <c r="U55" s="311"/>
      <c r="V55" s="311"/>
      <c r="W55" s="311"/>
      <c r="X55" s="311"/>
      <c r="Y55" s="311"/>
      <c r="Z55" s="311"/>
      <c r="AA55" s="311"/>
      <c r="AB55" s="311"/>
      <c r="AC55" s="311"/>
      <c r="AD55" s="311"/>
      <c r="AE55" s="311"/>
      <c r="AF55" s="311"/>
      <c r="AG55" s="311"/>
      <c r="AH55" s="311"/>
      <c r="AI55" s="311"/>
      <c r="AJ55" s="311"/>
      <c r="AK55" s="311"/>
      <c r="AL55" s="311"/>
      <c r="AM55" s="311"/>
      <c r="AO55" s="69"/>
      <c r="AP55" s="69" t="str">
        <f t="shared" si="1"/>
        <v>Добавить централизованную систему для дифференциации</v>
      </c>
      <c r="AQ55" s="69"/>
      <c r="AR55" s="69"/>
    </row>
    <row r="56" spans="1:44" s="68" customFormat="1" ht="0.75" customHeight="1">
      <c r="A56" s="143" t="s">
        <v>193</v>
      </c>
      <c r="B56" s="143"/>
      <c r="C56" s="143"/>
      <c r="D56" s="143"/>
      <c r="E56" s="1265"/>
      <c r="F56" s="143"/>
      <c r="G56" s="143"/>
      <c r="H56" s="143"/>
      <c r="I56" s="143"/>
      <c r="J56" s="143"/>
      <c r="K56" s="143"/>
      <c r="L56" s="338"/>
      <c r="M56" s="749"/>
      <c r="N56" s="749"/>
      <c r="P56" s="102"/>
      <c r="Q56" s="745"/>
      <c r="R56" s="102"/>
      <c r="S56" s="750"/>
      <c r="T56" s="752" t="s">
        <v>415</v>
      </c>
      <c r="U56" s="311"/>
      <c r="V56" s="311"/>
      <c r="W56" s="311"/>
      <c r="X56" s="311"/>
      <c r="Y56" s="311"/>
      <c r="Z56" s="311"/>
      <c r="AA56" s="311"/>
      <c r="AB56" s="311"/>
      <c r="AC56" s="311"/>
      <c r="AD56" s="311"/>
      <c r="AE56" s="311"/>
      <c r="AF56" s="311"/>
      <c r="AG56" s="311"/>
      <c r="AH56" s="311"/>
      <c r="AI56" s="311"/>
      <c r="AJ56" s="311"/>
      <c r="AK56" s="311"/>
      <c r="AL56" s="311"/>
      <c r="AM56" s="311"/>
      <c r="AO56" s="69"/>
      <c r="AP56" s="69" t="str">
        <f t="shared" si="1"/>
        <v>Добавить территорию для дифференциации</v>
      </c>
      <c r="AQ56" s="69"/>
      <c r="AR56" s="69"/>
    </row>
    <row r="57" spans="1:44" s="68" customFormat="1" ht="0.75" customHeight="1">
      <c r="A57" s="143"/>
      <c r="B57" s="143"/>
      <c r="C57" s="143"/>
      <c r="D57" s="143"/>
      <c r="E57" s="143"/>
      <c r="F57" s="143"/>
      <c r="G57" s="143"/>
      <c r="H57" s="143"/>
      <c r="I57" s="143"/>
      <c r="J57" s="143"/>
      <c r="K57" s="143"/>
      <c r="L57" s="338"/>
      <c r="M57" s="749"/>
      <c r="N57" s="749"/>
      <c r="P57" s="102"/>
      <c r="Q57" s="745"/>
      <c r="R57" s="102"/>
      <c r="S57" s="750"/>
      <c r="T57" s="752" t="s">
        <v>447</v>
      </c>
      <c r="U57" s="311"/>
      <c r="V57" s="311"/>
      <c r="W57" s="311"/>
      <c r="X57" s="311"/>
      <c r="Y57" s="311"/>
      <c r="Z57" s="311"/>
      <c r="AA57" s="311"/>
      <c r="AB57" s="311"/>
      <c r="AC57" s="311"/>
      <c r="AD57" s="311"/>
      <c r="AE57" s="311"/>
      <c r="AF57" s="311"/>
      <c r="AG57" s="311"/>
      <c r="AH57" s="311"/>
      <c r="AI57" s="311"/>
      <c r="AJ57" s="311"/>
      <c r="AK57" s="311"/>
      <c r="AL57" s="311"/>
      <c r="AM57" s="311"/>
      <c r="AO57" s="69"/>
      <c r="AP57" s="69" t="str">
        <f t="shared" si="1"/>
        <v>Добавить наименование тарифа</v>
      </c>
      <c r="AQ57" s="69"/>
      <c r="AR57" s="69"/>
    </row>
    <row r="58" spans="1:44" ht="11.25" customHeight="1">
      <c r="M58" s="63"/>
      <c r="N58" s="63"/>
      <c r="O58" s="63"/>
      <c r="P58" s="12"/>
      <c r="Q58" s="12"/>
      <c r="R58" s="12"/>
      <c r="S58" s="12"/>
      <c r="AN58" s="12"/>
      <c r="AO58" s="12"/>
      <c r="AP58" s="12"/>
      <c r="AQ58" s="12"/>
      <c r="AR58" s="12"/>
    </row>
    <row r="59" spans="1:44" ht="27" customHeight="1">
      <c r="O59" s="63"/>
      <c r="S59" s="196"/>
      <c r="T59" s="1285"/>
      <c r="U59" s="1285"/>
      <c r="V59" s="1285"/>
      <c r="W59" s="1285"/>
      <c r="X59" s="1285"/>
      <c r="Y59" s="1285"/>
      <c r="Z59" s="1285"/>
      <c r="AA59" s="1285"/>
      <c r="AB59" s="1285"/>
      <c r="AC59" s="1285"/>
      <c r="AD59" s="1285"/>
      <c r="AE59" s="1285"/>
      <c r="AF59" s="1285"/>
      <c r="AG59" s="1285"/>
      <c r="AH59" s="1285"/>
      <c r="AI59" s="1285"/>
      <c r="AJ59" s="1285"/>
      <c r="AK59" s="1285"/>
      <c r="AL59" s="1285"/>
      <c r="AM59" s="1285"/>
    </row>
    <row r="60" spans="1:44" ht="75" customHeight="1">
      <c r="O60" s="63"/>
      <c r="T60" s="1285"/>
      <c r="U60" s="1285"/>
      <c r="V60" s="1285"/>
      <c r="W60" s="1285"/>
      <c r="X60" s="1285"/>
      <c r="Y60" s="1285"/>
      <c r="Z60" s="1285"/>
      <c r="AA60" s="1285"/>
      <c r="AB60" s="1285"/>
      <c r="AC60" s="1285"/>
      <c r="AD60" s="1285"/>
      <c r="AE60" s="1285"/>
      <c r="AF60" s="1285"/>
      <c r="AG60" s="1285"/>
      <c r="AH60" s="1285"/>
      <c r="AI60" s="1285"/>
      <c r="AJ60" s="1285"/>
      <c r="AK60" s="1285"/>
      <c r="AL60" s="1285"/>
      <c r="AM60" s="1285"/>
    </row>
    <row r="61" spans="1:44" ht="14.25" customHeight="1">
      <c r="O61" s="63"/>
    </row>
    <row r="62" spans="1:44" ht="18" customHeight="1">
      <c r="O62" s="63"/>
      <c r="S62" s="196"/>
      <c r="T62" s="1285"/>
      <c r="U62" s="1285"/>
      <c r="V62" s="1285"/>
      <c r="W62" s="1285"/>
      <c r="X62" s="1285"/>
      <c r="Y62" s="1285"/>
      <c r="Z62" s="1285"/>
      <c r="AA62" s="1285"/>
      <c r="AB62" s="1285"/>
      <c r="AC62" s="1285"/>
      <c r="AD62" s="1285"/>
      <c r="AE62" s="1285"/>
      <c r="AF62" s="1285"/>
      <c r="AG62" s="1285"/>
      <c r="AH62" s="1285"/>
      <c r="AI62" s="1285"/>
      <c r="AJ62" s="1285"/>
      <c r="AK62" s="1285"/>
      <c r="AL62" s="1285"/>
      <c r="AM62" s="1285"/>
    </row>
    <row r="63" spans="1:44" ht="18" customHeight="1">
      <c r="O63" s="63"/>
      <c r="T63" s="1285"/>
      <c r="U63" s="1285"/>
      <c r="V63" s="1285"/>
      <c r="W63" s="1285"/>
      <c r="X63" s="1285"/>
      <c r="Y63" s="1285"/>
      <c r="Z63" s="1285"/>
      <c r="AA63" s="1285"/>
      <c r="AB63" s="1285"/>
      <c r="AC63" s="1285"/>
      <c r="AD63" s="1285"/>
      <c r="AE63" s="1285"/>
      <c r="AF63" s="1285"/>
      <c r="AG63" s="1285"/>
      <c r="AH63" s="1285"/>
      <c r="AI63" s="1285"/>
      <c r="AJ63" s="1285"/>
      <c r="AK63" s="1285"/>
      <c r="AL63" s="1285"/>
      <c r="AM63" s="1285"/>
    </row>
    <row r="64" spans="1:44" ht="38.25" customHeight="1">
      <c r="O64" s="63"/>
      <c r="S64" s="196"/>
      <c r="T64" s="1285"/>
      <c r="U64" s="1285"/>
      <c r="V64" s="1285"/>
      <c r="W64" s="1285"/>
      <c r="X64" s="1285"/>
      <c r="Y64" s="1285"/>
      <c r="Z64" s="1285"/>
      <c r="AA64" s="1285"/>
      <c r="AB64" s="1285"/>
      <c r="AC64" s="1285"/>
      <c r="AD64" s="1285"/>
      <c r="AE64" s="1285"/>
      <c r="AF64" s="1285"/>
      <c r="AG64" s="1285"/>
      <c r="AH64" s="1285"/>
      <c r="AI64" s="1285"/>
      <c r="AJ64" s="1285"/>
      <c r="AK64" s="1285"/>
      <c r="AL64" s="1285"/>
      <c r="AM64" s="1285"/>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D6B83-DD07-F7C9-FE5D-DA00673C97FD}">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299" hidden="1" customWidth="1"/>
    <col min="13" max="14" width="12.28515625" style="497" hidden="1" customWidth="1"/>
    <col min="15" max="15" width="23.42578125" style="497" hidden="1" customWidth="1"/>
    <col min="16" max="16" width="3.7109375" style="34" hidden="1" customWidth="1"/>
    <col min="17" max="18" width="3.7109375" style="30" customWidth="1"/>
    <col min="19" max="19" width="12.7109375" style="334" customWidth="1"/>
    <col min="20" max="20" width="32" style="12" customWidth="1"/>
    <col min="21" max="21" width="0.140625" style="12" customWidth="1"/>
    <col min="22" max="22" width="24.7109375" style="12" hidden="1" customWidth="1"/>
    <col min="23" max="23" width="0.140625" style="12" hidden="1" customWidth="1"/>
    <col min="24" max="25" width="24.7109375" style="12" hidden="1" customWidth="1"/>
    <col min="26" max="26" width="11.7109375" style="12" hidden="1" customWidth="1"/>
    <col min="27" max="27" width="3.7109375" style="12" hidden="1" customWidth="1"/>
    <col min="28" max="28" width="11.7109375" style="12" hidden="1" customWidth="1"/>
    <col min="29" max="29" width="8.5703125" style="12" hidden="1" customWidth="1"/>
    <col min="30" max="30" width="24.7109375" style="12" customWidth="1"/>
    <col min="31" max="31" width="0.140625" style="12" customWidth="1"/>
    <col min="32" max="33" width="24.7109375" style="12" customWidth="1"/>
    <col min="34" max="34" width="11.7109375" style="12" customWidth="1"/>
    <col min="35" max="35" width="3.7109375" style="12" customWidth="1"/>
    <col min="36" max="36" width="11.7109375" style="12" customWidth="1"/>
    <col min="37" max="37" width="8.5703125" style="12" hidden="1" customWidth="1"/>
    <col min="38" max="38" width="4.7109375" style="12" customWidth="1"/>
    <col min="39" max="39" width="115.7109375" style="12" customWidth="1"/>
    <col min="40" max="41" width="10.5703125" style="68"/>
    <col min="42" max="42" width="11.140625" style="68" customWidth="1"/>
    <col min="43" max="44" width="10.5703125" style="68"/>
  </cols>
  <sheetData>
    <row r="1" spans="1:44" ht="14.25" hidden="1" customHeight="1"/>
    <row r="2" spans="1:44" ht="21" hidden="1" customHeight="1">
      <c r="A2" s="759"/>
      <c r="B2" s="759"/>
      <c r="C2" s="759"/>
      <c r="D2" s="759"/>
      <c r="E2" s="1265">
        <v>1</v>
      </c>
      <c r="F2" s="759"/>
      <c r="G2" s="759"/>
      <c r="H2" s="759"/>
      <c r="I2" s="759"/>
      <c r="J2" s="759"/>
      <c r="K2" s="759"/>
      <c r="L2" s="760"/>
      <c r="M2" s="417"/>
      <c r="N2" s="417"/>
      <c r="O2" s="417"/>
      <c r="Q2" s="35"/>
      <c r="R2" s="205"/>
      <c r="S2" s="698" t="e">
        <f>INDEX(PT_DIFFERENTIATION_NUM_NTAR,MATCH(A2,PT_DIFFERENTIATION_NTAR_ID,0))</f>
        <v>#N/A</v>
      </c>
      <c r="T2" s="67" t="s">
        <v>124</v>
      </c>
      <c r="U2" s="169"/>
      <c r="V2" s="1251"/>
      <c r="W2" s="1252"/>
      <c r="X2" s="1252"/>
      <c r="Y2" s="1252"/>
      <c r="Z2" s="1252"/>
      <c r="AA2" s="1252"/>
      <c r="AB2" s="1252"/>
      <c r="AC2" s="1253"/>
      <c r="AD2" s="1251" t="e">
        <f>INDEX(PT_DIFFERENTIATION_NTAR,MATCH(A2,PT_DIFFERENTIATION_NTAR_ID,0))</f>
        <v>#N/A</v>
      </c>
      <c r="AE2" s="1252"/>
      <c r="AF2" s="1252"/>
      <c r="AG2" s="1252"/>
      <c r="AH2" s="1252"/>
      <c r="AI2" s="1252"/>
      <c r="AJ2" s="1252"/>
      <c r="AK2" s="1252"/>
      <c r="AL2" s="1253"/>
      <c r="AM2" s="718" t="s">
        <v>395</v>
      </c>
      <c r="AO2" s="69"/>
      <c r="AP2" s="69" t="str">
        <f t="shared" ref="AP2:AP15" si="0">IF(T2="","",T2)</f>
        <v>Наименование тарифа</v>
      </c>
      <c r="AQ2" s="69"/>
      <c r="AR2" s="69"/>
    </row>
    <row r="3" spans="1:44" ht="21" hidden="1" customHeight="1">
      <c r="A3" s="759"/>
      <c r="B3" s="759"/>
      <c r="C3" s="759"/>
      <c r="D3" s="759"/>
      <c r="E3" s="1266"/>
      <c r="F3" s="1265">
        <v>1</v>
      </c>
      <c r="G3" s="759"/>
      <c r="H3" s="759"/>
      <c r="I3" s="759"/>
      <c r="J3" s="759"/>
      <c r="K3" s="759"/>
      <c r="L3" s="760"/>
      <c r="M3" s="417"/>
      <c r="N3" s="417"/>
      <c r="O3" s="417"/>
      <c r="P3" s="59"/>
      <c r="Q3" s="202"/>
      <c r="R3" s="203"/>
      <c r="S3" s="698" t="e">
        <f>INDEX(PT_DIFFERENTIATION_NUM_TER,MATCH(B3,PT_DIFFERENTIATION_TER_ID,0))</f>
        <v>#N/A</v>
      </c>
      <c r="T3" s="175" t="s">
        <v>396</v>
      </c>
      <c r="U3" s="169"/>
      <c r="V3" s="1251"/>
      <c r="W3" s="1252"/>
      <c r="X3" s="1252"/>
      <c r="Y3" s="1252"/>
      <c r="Z3" s="1252"/>
      <c r="AA3" s="1252"/>
      <c r="AB3" s="1252"/>
      <c r="AC3" s="1253"/>
      <c r="AD3" s="1251" t="e">
        <f>INDEX(PT_DIFFERENTIATION_TER,MATCH(B3,PT_DIFFERENTIATION_TER_ID,0))</f>
        <v>#N/A</v>
      </c>
      <c r="AE3" s="1252"/>
      <c r="AF3" s="1252"/>
      <c r="AG3" s="1252"/>
      <c r="AH3" s="1252"/>
      <c r="AI3" s="1252"/>
      <c r="AJ3" s="1252"/>
      <c r="AK3" s="1252"/>
      <c r="AL3" s="1253"/>
      <c r="AM3" s="718" t="s">
        <v>397</v>
      </c>
      <c r="AO3" s="69"/>
      <c r="AP3" s="69" t="str">
        <f t="shared" si="0"/>
        <v>Территория действия тарифа</v>
      </c>
      <c r="AQ3" s="69"/>
      <c r="AR3" s="69"/>
    </row>
    <row r="4" spans="1:44" ht="23.25" hidden="1" customHeight="1">
      <c r="A4" s="759"/>
      <c r="B4" s="759"/>
      <c r="C4" s="759"/>
      <c r="D4" s="759"/>
      <c r="E4" s="1266"/>
      <c r="F4" s="1266"/>
      <c r="G4" s="1265">
        <v>1</v>
      </c>
      <c r="H4" s="759"/>
      <c r="I4" s="759"/>
      <c r="J4" s="759"/>
      <c r="K4" s="759"/>
      <c r="L4" s="760"/>
      <c r="M4" s="417"/>
      <c r="N4" s="417"/>
      <c r="O4" s="417"/>
      <c r="P4" s="204"/>
      <c r="Q4" s="202"/>
      <c r="R4" s="203"/>
      <c r="S4" s="698" t="e">
        <f>INDEX(PT_DIFFERENTIATION_NUM_CS,MATCH(C4,PT_DIFFERENTIATION_CS_ID,0))</f>
        <v>#N/A</v>
      </c>
      <c r="T4" s="176" t="s">
        <v>398</v>
      </c>
      <c r="U4" s="169"/>
      <c r="V4" s="1251"/>
      <c r="W4" s="1252"/>
      <c r="X4" s="1252"/>
      <c r="Y4" s="1252"/>
      <c r="Z4" s="1252"/>
      <c r="AA4" s="1252"/>
      <c r="AB4" s="1252"/>
      <c r="AC4" s="1253"/>
      <c r="AD4" s="1251" t="e">
        <f>INDEX(PT_DIFFERENTIATION_CS,MATCH(C4,PT_DIFFERENTIATION_CS_ID,0))</f>
        <v>#N/A</v>
      </c>
      <c r="AE4" s="1252"/>
      <c r="AF4" s="1252"/>
      <c r="AG4" s="1252"/>
      <c r="AH4" s="1252"/>
      <c r="AI4" s="1252"/>
      <c r="AJ4" s="1252"/>
      <c r="AK4" s="1252"/>
      <c r="AL4" s="1253"/>
      <c r="AM4" s="718" t="s">
        <v>399</v>
      </c>
      <c r="AO4" s="69"/>
      <c r="AP4" s="69" t="str">
        <f t="shared" si="0"/>
        <v xml:space="preserve">Наименование системы теплоснабжения </v>
      </c>
      <c r="AQ4" s="69"/>
      <c r="AR4" s="69"/>
    </row>
    <row r="5" spans="1:44" ht="21" hidden="1" customHeight="1">
      <c r="A5" s="759"/>
      <c r="B5" s="759"/>
      <c r="C5" s="759"/>
      <c r="D5" s="759"/>
      <c r="E5" s="1266"/>
      <c r="F5" s="1266"/>
      <c r="G5" s="1266"/>
      <c r="H5" s="1265">
        <v>1</v>
      </c>
      <c r="I5" s="759"/>
      <c r="J5" s="759"/>
      <c r="K5" s="759"/>
      <c r="L5" s="760"/>
      <c r="M5" s="417"/>
      <c r="N5" s="417"/>
      <c r="O5" s="417"/>
      <c r="P5" s="204"/>
      <c r="Q5" s="202"/>
      <c r="R5" s="203"/>
      <c r="S5" s="698" t="e">
        <f>INDEX(PT_DIFFERENTIATION_NUM_IST_TE,MATCH(D5,PT_DIFFERENTIATION_IST_TE_ID,0))</f>
        <v>#N/A</v>
      </c>
      <c r="T5" s="177" t="s">
        <v>400</v>
      </c>
      <c r="U5" s="169"/>
      <c r="V5" s="1251"/>
      <c r="W5" s="1252"/>
      <c r="X5" s="1252"/>
      <c r="Y5" s="1252"/>
      <c r="Z5" s="1252"/>
      <c r="AA5" s="1252"/>
      <c r="AB5" s="1252"/>
      <c r="AC5" s="1253"/>
      <c r="AD5" s="1251" t="e">
        <f>INDEX(PT_DIFFERENTIATION_IST_TE,MATCH(D5,PT_DIFFERENTIATION_IST_TE_ID,0))</f>
        <v>#N/A</v>
      </c>
      <c r="AE5" s="1252"/>
      <c r="AF5" s="1252"/>
      <c r="AG5" s="1252"/>
      <c r="AH5" s="1252"/>
      <c r="AI5" s="1252"/>
      <c r="AJ5" s="1252"/>
      <c r="AK5" s="1252"/>
      <c r="AL5" s="1253"/>
      <c r="AM5" s="718" t="s">
        <v>401</v>
      </c>
      <c r="AO5" s="69"/>
      <c r="AP5" s="69" t="str">
        <f t="shared" si="0"/>
        <v xml:space="preserve">Источник тепловой энергии  </v>
      </c>
      <c r="AQ5" s="69"/>
      <c r="AR5" s="69"/>
    </row>
    <row r="6" spans="1:44" ht="14.25" hidden="1" customHeight="1">
      <c r="A6" s="759"/>
      <c r="B6" s="759"/>
      <c r="C6" s="759"/>
      <c r="D6" s="759"/>
      <c r="E6" s="1266"/>
      <c r="F6" s="1266"/>
      <c r="G6" s="1266"/>
      <c r="H6" s="1266"/>
      <c r="I6" s="1263" t="e">
        <f>S5&amp;".1"</f>
        <v>#N/A</v>
      </c>
      <c r="J6" s="759"/>
      <c r="K6" s="759"/>
      <c r="L6" s="760" t="s">
        <v>402</v>
      </c>
      <c r="M6" s="63"/>
      <c r="P6" s="1264">
        <v>1</v>
      </c>
      <c r="Q6" s="120"/>
      <c r="R6" s="206"/>
      <c r="S6" s="353"/>
      <c r="T6" s="769"/>
      <c r="U6" s="770"/>
      <c r="V6" s="1294"/>
      <c r="W6" s="1295"/>
      <c r="X6" s="1295"/>
      <c r="Y6" s="1295"/>
      <c r="Z6" s="1295"/>
      <c r="AA6" s="1295"/>
      <c r="AB6" s="1295"/>
      <c r="AC6" s="1296"/>
      <c r="AD6" s="1294"/>
      <c r="AE6" s="1295"/>
      <c r="AF6" s="1295"/>
      <c r="AG6" s="1295"/>
      <c r="AH6" s="1295"/>
      <c r="AI6" s="1295"/>
      <c r="AJ6" s="1295"/>
      <c r="AK6" s="1295"/>
      <c r="AL6" s="1296"/>
      <c r="AM6" s="771"/>
      <c r="AO6" s="69"/>
      <c r="AP6" s="69" t="str">
        <f t="shared" si="0"/>
        <v/>
      </c>
      <c r="AQ6" s="69"/>
      <c r="AR6" s="69"/>
    </row>
    <row r="7" spans="1:44" ht="21" hidden="1" customHeight="1">
      <c r="A7" s="759"/>
      <c r="B7" s="759"/>
      <c r="C7" s="759"/>
      <c r="D7" s="759"/>
      <c r="E7" s="1266"/>
      <c r="F7" s="1266"/>
      <c r="G7" s="1266"/>
      <c r="H7" s="1266"/>
      <c r="I7" s="1286"/>
      <c r="J7" s="1263" t="e">
        <f>I6&amp;".1"</f>
        <v>#N/A</v>
      </c>
      <c r="K7" s="759"/>
      <c r="L7" s="760" t="s">
        <v>405</v>
      </c>
      <c r="M7" s="63"/>
      <c r="N7" s="63"/>
      <c r="P7" s="1264"/>
      <c r="Q7" s="1264">
        <v>1</v>
      </c>
      <c r="R7" s="207"/>
      <c r="S7" s="698" t="e">
        <f>$J7</f>
        <v>#N/A</v>
      </c>
      <c r="T7" s="163" t="s">
        <v>406</v>
      </c>
      <c r="U7" s="169"/>
      <c r="V7" s="1254"/>
      <c r="W7" s="1255"/>
      <c r="X7" s="1255"/>
      <c r="Y7" s="1255"/>
      <c r="Z7" s="1255"/>
      <c r="AA7" s="1255"/>
      <c r="AB7" s="1255"/>
      <c r="AC7" s="1256"/>
      <c r="AD7" s="1254"/>
      <c r="AE7" s="1255"/>
      <c r="AF7" s="1255"/>
      <c r="AG7" s="1255"/>
      <c r="AH7" s="1255"/>
      <c r="AI7" s="1255"/>
      <c r="AJ7" s="1255"/>
      <c r="AK7" s="1255"/>
      <c r="AL7" s="1256"/>
      <c r="AM7" s="718" t="s">
        <v>407</v>
      </c>
      <c r="AO7" s="69"/>
      <c r="AP7" s="69" t="str">
        <f t="shared" si="0"/>
        <v>Группа потребителей</v>
      </c>
      <c r="AQ7" s="69"/>
      <c r="AR7" s="69"/>
    </row>
    <row r="8" spans="1:44" ht="21" hidden="1" customHeight="1">
      <c r="A8" s="759"/>
      <c r="B8" s="759"/>
      <c r="C8" s="759"/>
      <c r="D8" s="759"/>
      <c r="E8" s="1266"/>
      <c r="F8" s="1266"/>
      <c r="G8" s="1266"/>
      <c r="H8" s="1266"/>
      <c r="I8" s="1286"/>
      <c r="J8" s="1286"/>
      <c r="K8" s="1263" t="e">
        <f>J7&amp;".1"</f>
        <v>#N/A</v>
      </c>
      <c r="L8" s="760" t="s">
        <v>408</v>
      </c>
      <c r="M8" s="63"/>
      <c r="N8" s="63"/>
      <c r="O8" s="63"/>
      <c r="P8" s="1264"/>
      <c r="Q8" s="1264"/>
      <c r="R8" s="207">
        <v>1</v>
      </c>
      <c r="S8" s="698" t="e">
        <f>$K8</f>
        <v>#N/A</v>
      </c>
      <c r="T8" s="755"/>
      <c r="U8" s="169"/>
      <c r="V8" s="304"/>
      <c r="W8" s="189"/>
      <c r="X8" s="304"/>
      <c r="Y8" s="717"/>
      <c r="Z8" s="1268"/>
      <c r="AA8" s="1127" t="s">
        <v>62</v>
      </c>
      <c r="AB8" s="1268"/>
      <c r="AC8" s="1127" t="s">
        <v>62</v>
      </c>
      <c r="AD8" s="304"/>
      <c r="AE8" s="189"/>
      <c r="AF8" s="304"/>
      <c r="AG8" s="717"/>
      <c r="AH8" s="1268"/>
      <c r="AI8" s="1127" t="s">
        <v>62</v>
      </c>
      <c r="AJ8" s="1268"/>
      <c r="AK8" s="1127" t="s">
        <v>62</v>
      </c>
      <c r="AL8" s="189"/>
      <c r="AM8" s="1260" t="s">
        <v>409</v>
      </c>
      <c r="AN8" s="68" t="e">
        <f ca="1">STRCHECKDATE(V9:AL9)</f>
        <v>#NAME?</v>
      </c>
      <c r="AO8" s="69"/>
      <c r="AP8" s="69" t="str">
        <f t="shared" si="0"/>
        <v/>
      </c>
      <c r="AQ8" s="69"/>
      <c r="AR8" s="69"/>
    </row>
    <row r="9" spans="1:44" ht="0.75" hidden="1" customHeight="1">
      <c r="A9" s="759"/>
      <c r="B9" s="759"/>
      <c r="C9" s="759"/>
      <c r="D9" s="759"/>
      <c r="E9" s="1266"/>
      <c r="F9" s="1266"/>
      <c r="G9" s="1266"/>
      <c r="H9" s="1266"/>
      <c r="I9" s="1286"/>
      <c r="J9" s="1286"/>
      <c r="K9" s="1263"/>
      <c r="L9" s="760"/>
      <c r="M9" s="63"/>
      <c r="N9" s="63"/>
      <c r="O9" s="63"/>
      <c r="P9" s="1264"/>
      <c r="Q9" s="1264"/>
      <c r="R9" s="207"/>
      <c r="S9" s="65"/>
      <c r="T9" s="169"/>
      <c r="U9" s="169"/>
      <c r="V9" s="189"/>
      <c r="W9" s="189"/>
      <c r="X9" s="189"/>
      <c r="Y9" s="190" t="str">
        <f>Z8&amp;"-"&amp;AB8</f>
        <v>-</v>
      </c>
      <c r="Z9" s="1269"/>
      <c r="AA9" s="1127"/>
      <c r="AB9" s="1269"/>
      <c r="AC9" s="1127"/>
      <c r="AD9" s="189"/>
      <c r="AE9" s="189"/>
      <c r="AF9" s="189"/>
      <c r="AG9" s="190" t="str">
        <f>AH8&amp;"-"&amp;AJ8</f>
        <v>-</v>
      </c>
      <c r="AH9" s="1269"/>
      <c r="AI9" s="1127"/>
      <c r="AJ9" s="1269"/>
      <c r="AK9" s="1127"/>
      <c r="AL9" s="189"/>
      <c r="AM9" s="1261"/>
      <c r="AO9" s="69"/>
      <c r="AP9" s="69" t="str">
        <f t="shared" si="0"/>
        <v/>
      </c>
      <c r="AQ9" s="69"/>
      <c r="AR9" s="69"/>
    </row>
    <row r="10" spans="1:44" ht="15" hidden="1" customHeight="1">
      <c r="A10" s="759"/>
      <c r="B10" s="759"/>
      <c r="C10" s="759"/>
      <c r="D10" s="759"/>
      <c r="E10" s="1266"/>
      <c r="F10" s="1266"/>
      <c r="G10" s="1266"/>
      <c r="H10" s="1266"/>
      <c r="I10" s="1286"/>
      <c r="J10" s="1263"/>
      <c r="K10" s="759"/>
      <c r="L10" s="760"/>
      <c r="M10" s="63"/>
      <c r="N10" s="63"/>
      <c r="P10" s="1264"/>
      <c r="Q10" s="1264"/>
      <c r="R10" s="206"/>
      <c r="S10" s="732"/>
      <c r="T10" s="164" t="s">
        <v>410</v>
      </c>
      <c r="U10" s="211"/>
      <c r="V10" s="211"/>
      <c r="W10" s="211"/>
      <c r="X10" s="211"/>
      <c r="Y10" s="211"/>
      <c r="Z10" s="211"/>
      <c r="AA10" s="211"/>
      <c r="AB10" s="211"/>
      <c r="AC10" s="211"/>
      <c r="AD10" s="211"/>
      <c r="AE10" s="211"/>
      <c r="AF10" s="211"/>
      <c r="AG10" s="211"/>
      <c r="AH10" s="211"/>
      <c r="AI10" s="211"/>
      <c r="AJ10" s="211"/>
      <c r="AK10" s="211"/>
      <c r="AL10" s="188"/>
      <c r="AM10" s="1262"/>
      <c r="AO10" s="69"/>
      <c r="AP10" s="69" t="str">
        <f t="shared" si="0"/>
        <v>Добавить вид теплоносителя (параметры теплоносителя)</v>
      </c>
      <c r="AQ10" s="69"/>
      <c r="AR10" s="69"/>
    </row>
    <row r="11" spans="1:44" ht="15" hidden="1" customHeight="1">
      <c r="A11" s="759"/>
      <c r="B11" s="759"/>
      <c r="C11" s="759"/>
      <c r="D11" s="759"/>
      <c r="E11" s="1266"/>
      <c r="F11" s="1266"/>
      <c r="G11" s="1266"/>
      <c r="H11" s="1266"/>
      <c r="I11" s="1263"/>
      <c r="J11" s="759"/>
      <c r="K11" s="759"/>
      <c r="L11" s="760"/>
      <c r="M11" s="63"/>
      <c r="P11" s="1264"/>
      <c r="Q11" s="120"/>
      <c r="R11" s="206"/>
      <c r="S11" s="732"/>
      <c r="T11" s="209" t="s">
        <v>411</v>
      </c>
      <c r="U11" s="211"/>
      <c r="V11" s="211"/>
      <c r="W11" s="211"/>
      <c r="X11" s="211"/>
      <c r="Y11" s="211"/>
      <c r="Z11" s="211"/>
      <c r="AA11" s="211"/>
      <c r="AB11" s="211"/>
      <c r="AC11" s="210"/>
      <c r="AD11" s="211"/>
      <c r="AE11" s="211"/>
      <c r="AF11" s="211"/>
      <c r="AG11" s="211"/>
      <c r="AH11" s="211"/>
      <c r="AI11" s="211"/>
      <c r="AJ11" s="211"/>
      <c r="AK11" s="210"/>
      <c r="AL11" s="211"/>
      <c r="AM11" s="172"/>
      <c r="AO11" s="69"/>
      <c r="AP11" s="69" t="str">
        <f t="shared" si="0"/>
        <v>Добавить группу потребителей</v>
      </c>
      <c r="AQ11" s="69"/>
      <c r="AR11" s="69"/>
    </row>
    <row r="12" spans="1:44" ht="14.25" hidden="1" customHeight="1">
      <c r="A12" s="759"/>
      <c r="B12" s="759"/>
      <c r="C12" s="759"/>
      <c r="D12" s="759"/>
      <c r="E12" s="1266"/>
      <c r="F12" s="1266"/>
      <c r="G12" s="1266"/>
      <c r="H12" s="1265"/>
      <c r="I12" s="759"/>
      <c r="J12" s="759"/>
      <c r="K12" s="759"/>
      <c r="L12" s="760"/>
      <c r="M12" s="417"/>
      <c r="N12" s="417"/>
      <c r="O12" s="63"/>
      <c r="P12" s="35"/>
      <c r="Q12" s="214"/>
      <c r="R12" s="205"/>
      <c r="S12" s="772"/>
      <c r="T12" s="773"/>
      <c r="U12" s="774"/>
      <c r="V12" s="774"/>
      <c r="W12" s="774"/>
      <c r="X12" s="774"/>
      <c r="Y12" s="774"/>
      <c r="Z12" s="774"/>
      <c r="AA12" s="774"/>
      <c r="AB12" s="774"/>
      <c r="AC12" s="774"/>
      <c r="AD12" s="774"/>
      <c r="AE12" s="774"/>
      <c r="AF12" s="774"/>
      <c r="AG12" s="774"/>
      <c r="AH12" s="774"/>
      <c r="AI12" s="774"/>
      <c r="AJ12" s="774"/>
      <c r="AK12" s="774"/>
      <c r="AL12" s="774"/>
      <c r="AM12" s="775"/>
      <c r="AO12" s="69"/>
      <c r="AP12" s="69" t="str">
        <f t="shared" si="0"/>
        <v/>
      </c>
      <c r="AQ12" s="69"/>
      <c r="AR12" s="69"/>
    </row>
    <row r="13" spans="1:44" s="68" customFormat="1" ht="0.75" hidden="1" customHeight="1">
      <c r="A13" s="143"/>
      <c r="B13" s="143"/>
      <c r="C13" s="143"/>
      <c r="D13" s="143"/>
      <c r="E13" s="1266"/>
      <c r="F13" s="1266"/>
      <c r="G13" s="1265"/>
      <c r="H13" s="143"/>
      <c r="I13" s="143"/>
      <c r="J13" s="143"/>
      <c r="K13" s="143"/>
      <c r="L13" s="338"/>
      <c r="M13" s="291"/>
      <c r="N13" s="291"/>
      <c r="P13" s="102"/>
      <c r="Q13" s="745"/>
      <c r="R13" s="102"/>
      <c r="S13" s="746"/>
      <c r="T13" s="747" t="s">
        <v>413</v>
      </c>
      <c r="U13" s="748"/>
      <c r="V13" s="748"/>
      <c r="W13" s="748"/>
      <c r="X13" s="748"/>
      <c r="Y13" s="748"/>
      <c r="Z13" s="748"/>
      <c r="AA13" s="748"/>
      <c r="AB13" s="748"/>
      <c r="AC13" s="748"/>
      <c r="AD13" s="748"/>
      <c r="AE13" s="748"/>
      <c r="AF13" s="748"/>
      <c r="AG13" s="748"/>
      <c r="AH13" s="748"/>
      <c r="AI13" s="748"/>
      <c r="AJ13" s="748"/>
      <c r="AK13" s="748"/>
      <c r="AL13" s="748"/>
      <c r="AM13" s="748"/>
      <c r="AO13" s="69"/>
      <c r="AP13" s="69" t="str">
        <f t="shared" si="0"/>
        <v>Добавить источник для дифференциации</v>
      </c>
      <c r="AQ13" s="69"/>
      <c r="AR13" s="69"/>
    </row>
    <row r="14" spans="1:44" s="68" customFormat="1" ht="0.75" hidden="1" customHeight="1">
      <c r="A14" s="143"/>
      <c r="B14" s="143"/>
      <c r="C14" s="143"/>
      <c r="D14" s="143"/>
      <c r="E14" s="1266"/>
      <c r="F14" s="1265"/>
      <c r="G14" s="143"/>
      <c r="H14" s="143"/>
      <c r="I14" s="143"/>
      <c r="J14" s="143"/>
      <c r="K14" s="143"/>
      <c r="L14" s="338"/>
      <c r="M14" s="749"/>
      <c r="N14" s="749"/>
      <c r="P14" s="102"/>
      <c r="Q14" s="745"/>
      <c r="R14" s="102"/>
      <c r="S14" s="750"/>
      <c r="T14" s="751" t="s">
        <v>414</v>
      </c>
      <c r="U14" s="311"/>
      <c r="V14" s="311"/>
      <c r="W14" s="311"/>
      <c r="X14" s="311"/>
      <c r="Y14" s="311"/>
      <c r="Z14" s="311"/>
      <c r="AA14" s="311"/>
      <c r="AB14" s="311"/>
      <c r="AC14" s="311"/>
      <c r="AD14" s="311"/>
      <c r="AE14" s="311"/>
      <c r="AF14" s="311"/>
      <c r="AG14" s="311"/>
      <c r="AH14" s="311"/>
      <c r="AI14" s="311"/>
      <c r="AJ14" s="311"/>
      <c r="AK14" s="311"/>
      <c r="AL14" s="311"/>
      <c r="AM14" s="311"/>
      <c r="AO14" s="69"/>
      <c r="AP14" s="69" t="str">
        <f t="shared" si="0"/>
        <v>Добавить централизованную систему для дифференциации</v>
      </c>
      <c r="AQ14" s="69"/>
      <c r="AR14" s="69"/>
    </row>
    <row r="15" spans="1:44" s="68" customFormat="1" ht="0.75" hidden="1" customHeight="1">
      <c r="A15" s="143"/>
      <c r="B15" s="143"/>
      <c r="C15" s="143"/>
      <c r="D15" s="143"/>
      <c r="E15" s="1265"/>
      <c r="F15" s="143"/>
      <c r="G15" s="143"/>
      <c r="H15" s="143"/>
      <c r="I15" s="143"/>
      <c r="J15" s="143"/>
      <c r="K15" s="143"/>
      <c r="L15" s="338"/>
      <c r="M15" s="749"/>
      <c r="N15" s="749"/>
      <c r="P15" s="102"/>
      <c r="Q15" s="745"/>
      <c r="R15" s="102"/>
      <c r="S15" s="750"/>
      <c r="T15" s="752" t="s">
        <v>415</v>
      </c>
      <c r="U15" s="311"/>
      <c r="V15" s="311"/>
      <c r="W15" s="311"/>
      <c r="X15" s="311"/>
      <c r="Y15" s="311"/>
      <c r="Z15" s="311"/>
      <c r="AA15" s="311"/>
      <c r="AB15" s="311"/>
      <c r="AC15" s="311"/>
      <c r="AD15" s="311"/>
      <c r="AE15" s="311"/>
      <c r="AF15" s="311"/>
      <c r="AG15" s="311"/>
      <c r="AH15" s="311"/>
      <c r="AI15" s="311"/>
      <c r="AJ15" s="311"/>
      <c r="AK15" s="311"/>
      <c r="AL15" s="311"/>
      <c r="AM15" s="311"/>
      <c r="AO15" s="69"/>
      <c r="AP15" s="69" t="str">
        <f t="shared" si="0"/>
        <v>Добавить территорию для дифференциации</v>
      </c>
      <c r="AQ15" s="69"/>
      <c r="AR15" s="69"/>
    </row>
    <row r="16" spans="1:44" ht="14.25" hidden="1" customHeight="1"/>
    <row r="17" spans="1:44" ht="14.25" hidden="1" customHeight="1">
      <c r="AD17" s="359"/>
      <c r="AE17" s="359"/>
      <c r="AF17" s="359"/>
      <c r="AG17" s="758"/>
      <c r="AH17" s="1270"/>
      <c r="AI17" s="1271" t="s">
        <v>62</v>
      </c>
      <c r="AJ17" s="1270"/>
      <c r="AK17" s="1271" t="s">
        <v>62</v>
      </c>
    </row>
    <row r="18" spans="1:44" ht="14.25" hidden="1" customHeight="1">
      <c r="AD18" s="359"/>
      <c r="AE18" s="359"/>
      <c r="AF18" s="359"/>
      <c r="AG18" s="190" t="str">
        <f>AH17&amp;"-"&amp;AJ17</f>
        <v>-</v>
      </c>
      <c r="AH18" s="1271"/>
      <c r="AI18" s="1271"/>
      <c r="AJ18" s="1271"/>
      <c r="AK18" s="1271"/>
    </row>
    <row r="19" spans="1:44" ht="14.25" hidden="1" customHeight="1"/>
    <row r="20" spans="1:44" s="63" customFormat="1" ht="22.5" hidden="1" customHeight="1">
      <c r="L20" s="299"/>
      <c r="M20" s="497"/>
      <c r="N20" s="497"/>
      <c r="O20" s="761" t="s">
        <v>416</v>
      </c>
      <c r="P20" s="497"/>
      <c r="Q20" s="762"/>
      <c r="R20" s="762"/>
      <c r="S20" s="417"/>
      <c r="Z20" s="761"/>
      <c r="AB20" s="761"/>
      <c r="AH20" s="761"/>
      <c r="AJ20" s="761"/>
      <c r="AN20" s="68"/>
      <c r="AO20" s="68"/>
      <c r="AP20" s="68"/>
      <c r="AQ20" s="68"/>
      <c r="AR20" s="68"/>
    </row>
    <row r="21" spans="1:44" s="63" customFormat="1" ht="14.25" hidden="1" customHeight="1">
      <c r="L21" s="299"/>
      <c r="M21" s="497"/>
      <c r="N21" s="497"/>
      <c r="O21" s="497"/>
      <c r="P21" s="497"/>
      <c r="Q21" s="762"/>
      <c r="R21" s="762"/>
      <c r="S21" s="417"/>
      <c r="AN21" s="68"/>
      <c r="AO21" s="68"/>
      <c r="AP21" s="68"/>
      <c r="AQ21" s="68"/>
      <c r="AR21" s="68"/>
    </row>
    <row r="22" spans="1:44" s="63" customFormat="1" ht="14.25" hidden="1" customHeight="1">
      <c r="L22" s="299"/>
      <c r="M22" s="497"/>
      <c r="N22" s="497"/>
      <c r="O22" s="760" t="s">
        <v>417</v>
      </c>
      <c r="P22" s="497"/>
      <c r="Q22" s="762"/>
      <c r="R22" s="762"/>
      <c r="S22" s="417"/>
      <c r="T22" s="63" t="s">
        <v>418</v>
      </c>
      <c r="AA22" s="81" t="s">
        <v>419</v>
      </c>
      <c r="AC22" s="81" t="s">
        <v>420</v>
      </c>
      <c r="AD22" s="63" t="s">
        <v>418</v>
      </c>
      <c r="AI22" s="81" t="s">
        <v>421</v>
      </c>
      <c r="AK22" s="81" t="s">
        <v>420</v>
      </c>
      <c r="AN22" s="68"/>
      <c r="AO22" s="68"/>
      <c r="AP22" s="68"/>
      <c r="AQ22" s="68"/>
      <c r="AR22" s="68"/>
    </row>
    <row r="23" spans="1:44" ht="14.25" hidden="1" customHeight="1">
      <c r="O23" s="760"/>
    </row>
    <row r="24" spans="1:44" ht="14.25" hidden="1" customHeight="1">
      <c r="O24" s="760"/>
    </row>
    <row r="25" spans="1:44" ht="14.25" customHeight="1">
      <c r="Q25" s="29"/>
      <c r="R25" s="29"/>
      <c r="S25" s="729"/>
      <c r="T25" s="11"/>
      <c r="U25" s="11"/>
    </row>
    <row r="26" spans="1:44" ht="51" customHeight="1">
      <c r="Q26" s="29"/>
      <c r="R26" s="29"/>
      <c r="S26" s="1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49"/>
      <c r="U26" s="1249"/>
      <c r="V26" s="1249"/>
      <c r="W26" s="1249"/>
      <c r="X26" s="1249"/>
      <c r="Y26" s="1249"/>
      <c r="Z26" s="1249"/>
      <c r="AA26" s="1249"/>
      <c r="AB26" s="1249"/>
      <c r="AC26" s="1249"/>
      <c r="AD26" s="1249"/>
      <c r="AE26" s="1249"/>
      <c r="AF26" s="1249"/>
      <c r="AG26" s="1249"/>
      <c r="AH26" s="1249"/>
      <c r="AI26" s="1249"/>
      <c r="AJ26" s="1249"/>
      <c r="AK26" s="60"/>
    </row>
    <row r="27" spans="1:44" ht="14.25" customHeight="1">
      <c r="Q27" s="29"/>
      <c r="R27" s="29"/>
      <c r="S27" s="1194" t="str">
        <f>IF(org=0,"Не определено",org)</f>
        <v>АО "ХТК"</v>
      </c>
      <c r="T27" s="1194"/>
      <c r="U27" s="1194"/>
      <c r="V27" s="1194"/>
      <c r="W27" s="1194"/>
      <c r="X27" s="1194"/>
      <c r="Y27" s="1194"/>
      <c r="Z27" s="1194"/>
      <c r="AA27" s="1194"/>
      <c r="AB27" s="1194"/>
      <c r="AC27" s="1194"/>
      <c r="AD27" s="1194"/>
      <c r="AE27" s="1194"/>
      <c r="AF27" s="1194"/>
      <c r="AG27" s="1194"/>
      <c r="AH27" s="1194"/>
      <c r="AI27" s="1194"/>
      <c r="AJ27" s="1194"/>
      <c r="AK27" s="60"/>
    </row>
    <row r="28" spans="1:44" ht="14.25" hidden="1" customHeight="1">
      <c r="Q28" s="29"/>
      <c r="R28" s="29"/>
      <c r="S28" s="729"/>
      <c r="T28" s="11"/>
      <c r="U28" s="11"/>
      <c r="V28" s="187"/>
      <c r="W28" s="187"/>
      <c r="X28" s="187"/>
      <c r="Y28" s="187"/>
      <c r="Z28" s="187"/>
      <c r="AA28" s="187"/>
      <c r="AB28" s="187"/>
      <c r="AC28" s="187"/>
      <c r="AD28" s="187"/>
      <c r="AE28" s="187"/>
      <c r="AF28" s="187"/>
      <c r="AG28" s="187"/>
      <c r="AH28" s="187"/>
      <c r="AI28" s="187"/>
      <c r="AJ28" s="187"/>
      <c r="AK28" s="187"/>
    </row>
    <row r="29" spans="1:44" s="36" customFormat="1" ht="25.5" hidden="1" customHeight="1">
      <c r="A29" s="81"/>
      <c r="B29" s="81"/>
      <c r="C29" s="81"/>
      <c r="D29" s="81"/>
      <c r="E29" s="81"/>
      <c r="F29" s="81"/>
      <c r="G29" s="81"/>
      <c r="H29" s="81"/>
      <c r="I29" s="81"/>
      <c r="J29" s="81"/>
      <c r="K29" s="81"/>
      <c r="L29" s="760"/>
      <c r="M29" s="81"/>
      <c r="N29" s="81"/>
      <c r="O29" s="81"/>
      <c r="S29" s="1257" t="s">
        <v>37</v>
      </c>
      <c r="T29" s="1257"/>
      <c r="U29" s="763"/>
      <c r="V29" s="1258" t="str">
        <f>IF(TITLE_NAME_OR_PR_CHANGE="",IF(TITLE_NAME_OR_PR="","",TITLE_NAME_OR_PR),TITLE_NAME_OR_PR_CHANGE)</f>
        <v/>
      </c>
      <c r="W29" s="1258"/>
      <c r="X29" s="1258"/>
      <c r="Y29" s="1258"/>
      <c r="Z29" s="1258"/>
      <c r="AA29" s="1258"/>
      <c r="AB29" s="1258"/>
      <c r="AC29" s="12"/>
      <c r="AD29" s="1258" t="str">
        <f>IF(TITLE_NAME_OR_PR_CHANGE="",IF(TITLE_NAME_OR_PR="","",TITLE_NAME_OR_PR),TITLE_NAME_OR_PR_CHANGE)</f>
        <v/>
      </c>
      <c r="AE29" s="1258"/>
      <c r="AF29" s="1258"/>
      <c r="AG29" s="1258"/>
      <c r="AH29" s="1258"/>
      <c r="AI29" s="1258"/>
      <c r="AJ29" s="1258"/>
      <c r="AK29" s="12"/>
      <c r="AL29" s="12"/>
      <c r="AM29" s="161"/>
      <c r="AN29" s="69"/>
      <c r="AO29" s="69"/>
      <c r="AP29" s="69"/>
      <c r="AQ29" s="69"/>
      <c r="AR29" s="69"/>
    </row>
    <row r="30" spans="1:44" s="36" customFormat="1" ht="18.75" hidden="1" customHeight="1">
      <c r="A30" s="81"/>
      <c r="B30" s="81"/>
      <c r="C30" s="81"/>
      <c r="D30" s="81"/>
      <c r="E30" s="81"/>
      <c r="F30" s="81"/>
      <c r="G30" s="81"/>
      <c r="H30" s="81"/>
      <c r="I30" s="81"/>
      <c r="J30" s="81"/>
      <c r="K30" s="81"/>
      <c r="L30" s="760"/>
      <c r="M30" s="81"/>
      <c r="N30" s="81"/>
      <c r="O30" s="81"/>
      <c r="S30" s="1257" t="s">
        <v>422</v>
      </c>
      <c r="T30" s="1257"/>
      <c r="U30" s="763"/>
      <c r="V30" s="1267" t="str">
        <f>IF(TITLE_DATE_PR_CHANGE="",IF(TITLE_DATE_PR="","",TITLE_DATE_PR),TITLE_DATE_PR_CHANGE)</f>
        <v/>
      </c>
      <c r="W30" s="1267"/>
      <c r="X30" s="1267"/>
      <c r="Y30" s="1267"/>
      <c r="Z30" s="1267"/>
      <c r="AA30" s="1267"/>
      <c r="AB30" s="1267"/>
      <c r="AC30" s="12"/>
      <c r="AD30" s="1267" t="str">
        <f>IF(TITLE_DATE_PR_CHANGE="",IF(TITLE_DATE_PR="","",TITLE_DATE_PR),TITLE_DATE_PR_CHANGE)</f>
        <v/>
      </c>
      <c r="AE30" s="1267"/>
      <c r="AF30" s="1267"/>
      <c r="AG30" s="1267"/>
      <c r="AH30" s="1267"/>
      <c r="AI30" s="1267"/>
      <c r="AJ30" s="1267"/>
      <c r="AK30" s="12"/>
      <c r="AL30" s="12"/>
      <c r="AM30" s="161"/>
      <c r="AN30" s="69"/>
      <c r="AO30" s="69"/>
      <c r="AP30" s="69"/>
      <c r="AQ30" s="69"/>
      <c r="AR30" s="69"/>
    </row>
    <row r="31" spans="1:44" s="36" customFormat="1" ht="18.75" hidden="1" customHeight="1">
      <c r="A31" s="81"/>
      <c r="B31" s="81"/>
      <c r="C31" s="81"/>
      <c r="D31" s="81"/>
      <c r="E31" s="81"/>
      <c r="F31" s="81"/>
      <c r="G31" s="81"/>
      <c r="H31" s="81"/>
      <c r="I31" s="81"/>
      <c r="J31" s="81"/>
      <c r="K31" s="81"/>
      <c r="L31" s="760"/>
      <c r="M31" s="81"/>
      <c r="N31" s="81"/>
      <c r="O31" s="81"/>
      <c r="S31" s="1257" t="s">
        <v>423</v>
      </c>
      <c r="T31" s="1257"/>
      <c r="U31" s="763"/>
      <c r="V31" s="1258" t="str">
        <f>IF(TITLE_NUMBER_PR_CHANGE="",IF(TITLE_NUMBER_PR="","",TITLE_NUMBER_PR),TITLE_NUMBER_PR_CHANGE)</f>
        <v/>
      </c>
      <c r="W31" s="1258"/>
      <c r="X31" s="1258"/>
      <c r="Y31" s="1258"/>
      <c r="Z31" s="1258"/>
      <c r="AA31" s="1258"/>
      <c r="AB31" s="1258"/>
      <c r="AC31" s="12"/>
      <c r="AD31" s="1258" t="str">
        <f>IF(TITLE_NUMBER_PR_CHANGE="",IF(TITLE_NUMBER_PR="","",TITLE_NUMBER_PR),TITLE_NUMBER_PR_CHANGE)</f>
        <v/>
      </c>
      <c r="AE31" s="1258"/>
      <c r="AF31" s="1258"/>
      <c r="AG31" s="1258"/>
      <c r="AH31" s="1258"/>
      <c r="AI31" s="1258"/>
      <c r="AJ31" s="1258"/>
      <c r="AK31" s="12"/>
      <c r="AL31" s="12"/>
      <c r="AM31" s="161"/>
      <c r="AN31" s="69"/>
      <c r="AO31" s="69"/>
      <c r="AP31" s="69"/>
      <c r="AQ31" s="69"/>
      <c r="AR31" s="69"/>
    </row>
    <row r="32" spans="1:44" s="36" customFormat="1" ht="18.75" hidden="1" customHeight="1">
      <c r="A32" s="81"/>
      <c r="B32" s="81"/>
      <c r="C32" s="81"/>
      <c r="D32" s="81"/>
      <c r="E32" s="81"/>
      <c r="F32" s="81"/>
      <c r="G32" s="81"/>
      <c r="H32" s="81"/>
      <c r="I32" s="81"/>
      <c r="J32" s="81"/>
      <c r="K32" s="81"/>
      <c r="L32" s="760"/>
      <c r="M32" s="81"/>
      <c r="N32" s="81"/>
      <c r="O32" s="81"/>
      <c r="S32" s="1257" t="s">
        <v>38</v>
      </c>
      <c r="T32" s="1257"/>
      <c r="U32" s="763"/>
      <c r="V32" s="1258" t="str">
        <f>IF(TITLE_IST_PUB_CHANGE="",IF(TITLE_IST_PUB="","",TITLE_IST_PUB),TITLE_IST_PUB_CHANGE)</f>
        <v/>
      </c>
      <c r="W32" s="1258"/>
      <c r="X32" s="1258"/>
      <c r="Y32" s="1258"/>
      <c r="Z32" s="1258"/>
      <c r="AA32" s="1258"/>
      <c r="AB32" s="1258"/>
      <c r="AC32" s="12"/>
      <c r="AD32" s="1258" t="str">
        <f>IF(TITLE_IST_PUB_CHANGE="",IF(TITLE_IST_PUB="","",TITLE_IST_PUB),TITLE_IST_PUB_CHANGE)</f>
        <v/>
      </c>
      <c r="AE32" s="1258"/>
      <c r="AF32" s="1258"/>
      <c r="AG32" s="1258"/>
      <c r="AH32" s="1258"/>
      <c r="AI32" s="1258"/>
      <c r="AJ32" s="1258"/>
      <c r="AK32" s="12"/>
      <c r="AL32" s="12"/>
      <c r="AM32" s="161"/>
      <c r="AN32" s="69"/>
      <c r="AO32" s="69"/>
      <c r="AP32" s="69"/>
      <c r="AQ32" s="69"/>
      <c r="AR32" s="69"/>
    </row>
    <row r="33" spans="1:44" ht="14.25" hidden="1" customHeight="1">
      <c r="Q33" s="29"/>
      <c r="R33" s="29"/>
      <c r="S33" s="729"/>
      <c r="T33" s="11"/>
      <c r="U33" s="11"/>
      <c r="V33" s="187"/>
      <c r="W33" s="187"/>
      <c r="X33" s="187"/>
      <c r="Y33" s="187"/>
      <c r="Z33" s="187"/>
      <c r="AA33" s="187"/>
      <c r="AB33" s="187"/>
      <c r="AC33" s="187"/>
      <c r="AD33" s="187"/>
      <c r="AE33" s="187"/>
      <c r="AF33" s="187"/>
      <c r="AG33" s="187"/>
      <c r="AH33" s="187"/>
      <c r="AI33" s="187"/>
      <c r="AJ33" s="187"/>
      <c r="AK33" s="187"/>
    </row>
    <row r="34" spans="1:44" s="36" customFormat="1" ht="18.75" hidden="1" customHeight="1">
      <c r="A34" s="81"/>
      <c r="B34" s="81"/>
      <c r="C34" s="81"/>
      <c r="D34" s="81"/>
      <c r="E34" s="81"/>
      <c r="F34" s="81"/>
      <c r="G34" s="81"/>
      <c r="H34" s="81"/>
      <c r="I34" s="81"/>
      <c r="J34" s="81"/>
      <c r="K34" s="81"/>
      <c r="L34" s="760"/>
      <c r="M34" s="81"/>
      <c r="N34" s="81"/>
      <c r="O34" s="81"/>
      <c r="S34" s="1257" t="s">
        <v>424</v>
      </c>
      <c r="T34" s="1257"/>
      <c r="U34" s="763"/>
      <c r="V34" s="1267" t="str">
        <f>IF(TITLE_DATE_PR_CHANGE="",IF(TITLE_DATE_PR="","",TITLE_DATE_PR),TITLE_DATE_PR_CHANGE)</f>
        <v/>
      </c>
      <c r="W34" s="1267"/>
      <c r="X34" s="1267"/>
      <c r="Y34" s="1267"/>
      <c r="Z34" s="1267"/>
      <c r="AA34" s="1267"/>
      <c r="AB34" s="1267"/>
      <c r="AC34" s="12"/>
      <c r="AD34" s="1267" t="str">
        <f>IF(TITLE_DATE_PR_CHANGE="",IF(TITLE_DATE_PR="","",TITLE_DATE_PR),TITLE_DATE_PR_CHANGE)</f>
        <v/>
      </c>
      <c r="AE34" s="1267"/>
      <c r="AF34" s="1267"/>
      <c r="AG34" s="1267"/>
      <c r="AH34" s="1267"/>
      <c r="AI34" s="1267"/>
      <c r="AJ34" s="1267"/>
      <c r="AK34" s="12"/>
      <c r="AL34" s="12"/>
      <c r="AM34" s="161"/>
      <c r="AN34" s="69"/>
      <c r="AO34" s="69"/>
      <c r="AP34" s="69"/>
      <c r="AQ34" s="69"/>
      <c r="AR34" s="69"/>
    </row>
    <row r="35" spans="1:44" s="36" customFormat="1" ht="18.75" hidden="1" customHeight="1">
      <c r="A35" s="81"/>
      <c r="B35" s="81"/>
      <c r="C35" s="81"/>
      <c r="D35" s="81"/>
      <c r="E35" s="81"/>
      <c r="F35" s="81"/>
      <c r="G35" s="81"/>
      <c r="H35" s="81"/>
      <c r="I35" s="81"/>
      <c r="J35" s="81"/>
      <c r="K35" s="81"/>
      <c r="L35" s="760"/>
      <c r="M35" s="81"/>
      <c r="N35" s="81"/>
      <c r="O35" s="81"/>
      <c r="S35" s="1257" t="s">
        <v>425</v>
      </c>
      <c r="T35" s="1257"/>
      <c r="U35" s="763"/>
      <c r="V35" s="1258" t="str">
        <f>IF(TITLE_NUMBER_PR_CHANGE="",IF(TITLE_NUMBER_PR="","",TITLE_NUMBER_PR),TITLE_NUMBER_PR_CHANGE)</f>
        <v/>
      </c>
      <c r="W35" s="1258"/>
      <c r="X35" s="1258"/>
      <c r="Y35" s="1258"/>
      <c r="Z35" s="1258"/>
      <c r="AA35" s="1258"/>
      <c r="AB35" s="1258"/>
      <c r="AC35" s="12"/>
      <c r="AD35" s="1258" t="str">
        <f>IF(TITLE_NUMBER_PR_CHANGE="",IF(TITLE_NUMBER_PR="","",TITLE_NUMBER_PR),TITLE_NUMBER_PR_CHANGE)</f>
        <v/>
      </c>
      <c r="AE35" s="1258"/>
      <c r="AF35" s="1258"/>
      <c r="AG35" s="1258"/>
      <c r="AH35" s="1258"/>
      <c r="AI35" s="1258"/>
      <c r="AJ35" s="1258"/>
      <c r="AK35" s="12"/>
      <c r="AL35" s="12"/>
      <c r="AM35" s="161"/>
      <c r="AN35" s="69"/>
      <c r="AO35" s="69"/>
      <c r="AP35" s="69"/>
      <c r="AQ35" s="69"/>
      <c r="AR35" s="69"/>
    </row>
    <row r="36" spans="1:44" s="36" customFormat="1" ht="0" hidden="1" customHeight="1">
      <c r="A36" s="81"/>
      <c r="B36" s="81"/>
      <c r="C36" s="81"/>
      <c r="D36" s="81"/>
      <c r="E36" s="81"/>
      <c r="F36" s="81"/>
      <c r="G36" s="81"/>
      <c r="H36" s="81"/>
      <c r="I36" s="81"/>
      <c r="J36" s="81"/>
      <c r="K36" s="81"/>
      <c r="L36" s="760"/>
      <c r="M36" s="81"/>
      <c r="N36" s="81"/>
      <c r="O36" s="81"/>
      <c r="S36" s="12"/>
      <c r="T36" s="12"/>
      <c r="U36" s="77"/>
      <c r="V36" s="12"/>
      <c r="W36" s="12"/>
      <c r="X36" s="12"/>
      <c r="Y36" s="12"/>
      <c r="Z36" s="12"/>
      <c r="AA36" s="12"/>
      <c r="AB36" s="12"/>
      <c r="AC36" s="68" t="s">
        <v>426</v>
      </c>
      <c r="AD36" s="12"/>
      <c r="AE36" s="12"/>
      <c r="AF36" s="12"/>
      <c r="AG36" s="12"/>
      <c r="AH36" s="12"/>
      <c r="AI36" s="12"/>
      <c r="AJ36" s="12"/>
      <c r="AK36" s="68" t="s">
        <v>426</v>
      </c>
      <c r="AN36" s="69"/>
      <c r="AO36" s="69"/>
      <c r="AP36" s="69"/>
      <c r="AQ36" s="69"/>
      <c r="AR36" s="69"/>
    </row>
    <row r="37" spans="1:44" ht="14.25" customHeight="1">
      <c r="Q37" s="29"/>
      <c r="R37" s="29"/>
      <c r="S37" s="729"/>
      <c r="T37" s="11"/>
      <c r="U37" s="709"/>
      <c r="V37" s="1259"/>
      <c r="W37" s="1259"/>
      <c r="X37" s="1259"/>
      <c r="Y37" s="1259"/>
      <c r="Z37" s="1259"/>
      <c r="AA37" s="1259"/>
      <c r="AB37" s="1259"/>
      <c r="AC37" s="1259"/>
      <c r="AD37" s="1259"/>
      <c r="AE37" s="1259"/>
      <c r="AF37" s="1259"/>
      <c r="AG37" s="1259"/>
      <c r="AH37" s="1259"/>
      <c r="AI37" s="1259"/>
      <c r="AJ37" s="1259"/>
      <c r="AK37" s="1259"/>
    </row>
    <row r="38" spans="1:44" ht="14.25" customHeight="1">
      <c r="Q38" s="29"/>
      <c r="R38" s="29"/>
      <c r="S38" s="1146" t="s">
        <v>299</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300</v>
      </c>
    </row>
    <row r="39" spans="1:44" ht="14.25" customHeight="1">
      <c r="Q39" s="29"/>
      <c r="R39" s="29"/>
      <c r="S39" s="1273" t="s">
        <v>84</v>
      </c>
      <c r="T39" s="1224" t="s">
        <v>427</v>
      </c>
      <c r="U39" s="170"/>
      <c r="V39" s="1274" t="s">
        <v>428</v>
      </c>
      <c r="W39" s="1275"/>
      <c r="X39" s="1275"/>
      <c r="Y39" s="1275"/>
      <c r="Z39" s="1275"/>
      <c r="AA39" s="1275"/>
      <c r="AB39" s="1276"/>
      <c r="AC39" s="1277" t="s">
        <v>429</v>
      </c>
      <c r="AD39" s="1274" t="s">
        <v>428</v>
      </c>
      <c r="AE39" s="1275"/>
      <c r="AF39" s="1275"/>
      <c r="AG39" s="1275"/>
      <c r="AH39" s="1275"/>
      <c r="AI39" s="1275"/>
      <c r="AJ39" s="1276"/>
      <c r="AK39" s="1277" t="s">
        <v>430</v>
      </c>
      <c r="AL39" s="1280" t="s">
        <v>431</v>
      </c>
      <c r="AM39" s="1146"/>
    </row>
    <row r="40" spans="1:44" ht="33.75" customHeight="1">
      <c r="Q40" s="29"/>
      <c r="R40" s="29"/>
      <c r="S40" s="1273"/>
      <c r="T40" s="1224"/>
      <c r="U40" s="595"/>
      <c r="V40" s="1193" t="s">
        <v>432</v>
      </c>
      <c r="W40" s="1283"/>
      <c r="X40" s="1117" t="s">
        <v>434</v>
      </c>
      <c r="Y40" s="1116"/>
      <c r="Z40" s="1117" t="s">
        <v>435</v>
      </c>
      <c r="AA40" s="1122"/>
      <c r="AB40" s="1116"/>
      <c r="AC40" s="1278"/>
      <c r="AD40" s="1193" t="s">
        <v>449</v>
      </c>
      <c r="AE40" s="1283"/>
      <c r="AF40" s="1117" t="s">
        <v>434</v>
      </c>
      <c r="AG40" s="1116"/>
      <c r="AH40" s="1117" t="s">
        <v>435</v>
      </c>
      <c r="AI40" s="1122"/>
      <c r="AJ40" s="1116"/>
      <c r="AK40" s="1278"/>
      <c r="AL40" s="1281"/>
      <c r="AM40" s="1146"/>
    </row>
    <row r="41" spans="1:44" ht="33.75" customHeight="1">
      <c r="A41" s="81"/>
      <c r="B41" s="81" t="s">
        <v>136</v>
      </c>
      <c r="C41" s="81" t="s">
        <v>137</v>
      </c>
      <c r="D41" s="81" t="s">
        <v>138</v>
      </c>
      <c r="E41" s="760" t="s">
        <v>436</v>
      </c>
      <c r="F41" s="760" t="s">
        <v>437</v>
      </c>
      <c r="G41" s="760" t="s">
        <v>438</v>
      </c>
      <c r="H41" s="760" t="s">
        <v>439</v>
      </c>
      <c r="I41" s="760" t="s">
        <v>440</v>
      </c>
      <c r="J41" s="760" t="s">
        <v>441</v>
      </c>
      <c r="K41" s="760" t="s">
        <v>442</v>
      </c>
      <c r="L41" s="760" t="s">
        <v>417</v>
      </c>
      <c r="Q41" s="29"/>
      <c r="R41" s="29"/>
      <c r="S41" s="1273"/>
      <c r="T41" s="1224"/>
      <c r="U41" s="171"/>
      <c r="V41" s="1244"/>
      <c r="W41" s="1284"/>
      <c r="X41" s="40" t="s">
        <v>443</v>
      </c>
      <c r="Y41" s="40" t="s">
        <v>444</v>
      </c>
      <c r="Z41" s="40" t="s">
        <v>445</v>
      </c>
      <c r="AA41" s="1233" t="s">
        <v>446</v>
      </c>
      <c r="AB41" s="1235"/>
      <c r="AC41" s="1279"/>
      <c r="AD41" s="1244"/>
      <c r="AE41" s="1284"/>
      <c r="AF41" s="40" t="s">
        <v>443</v>
      </c>
      <c r="AG41" s="40" t="s">
        <v>444</v>
      </c>
      <c r="AH41" s="40" t="s">
        <v>445</v>
      </c>
      <c r="AI41" s="1233" t="s">
        <v>446</v>
      </c>
      <c r="AJ41" s="1235"/>
      <c r="AK41" s="1279"/>
      <c r="AL41" s="1282"/>
      <c r="AM41" s="1146"/>
    </row>
    <row r="42" spans="1:44" s="201" customFormat="1" ht="11.25" hidden="1" customHeight="1">
      <c r="A42" s="81"/>
      <c r="B42" s="81"/>
      <c r="C42" s="81"/>
      <c r="D42" s="81"/>
      <c r="E42" s="81"/>
      <c r="F42" s="81"/>
      <c r="G42" s="81"/>
      <c r="H42" s="81"/>
      <c r="I42" s="81"/>
      <c r="J42" s="81"/>
      <c r="K42" s="81"/>
      <c r="L42" s="760"/>
      <c r="M42" s="497"/>
      <c r="N42" s="497"/>
      <c r="O42" s="497"/>
      <c r="P42" s="711"/>
      <c r="Q42" s="712"/>
      <c r="R42" s="714">
        <v>1</v>
      </c>
      <c r="S42" s="731" t="s">
        <v>105</v>
      </c>
      <c r="T42" s="715" t="s">
        <v>106</v>
      </c>
      <c r="U42" s="710" t="str">
        <f ca="1">OFFSET(U42,0,-1)</f>
        <v>2</v>
      </c>
      <c r="V42" s="716">
        <f ca="1">OFFSET(V42,0,-1)+1</f>
        <v>3</v>
      </c>
      <c r="W42" s="716"/>
      <c r="X42" s="716">
        <f ca="1">OFFSET(X42,0,-1)+1</f>
        <v>1</v>
      </c>
      <c r="Y42" s="716">
        <f ca="1">OFFSET(Y42,0,-1)+1</f>
        <v>2</v>
      </c>
      <c r="Z42" s="716">
        <f ca="1">OFFSET(Z42,0,-1)+1</f>
        <v>3</v>
      </c>
      <c r="AA42" s="1272">
        <f ca="1">OFFSET(AA42,0,-1)+1</f>
        <v>4</v>
      </c>
      <c r="AB42" s="1272"/>
      <c r="AC42" s="716">
        <f ca="1">OFFSET(AC42,0,-2)+1</f>
        <v>5</v>
      </c>
      <c r="AD42" s="716">
        <f ca="1">OFFSET(AD42,0,-1)+1</f>
        <v>6</v>
      </c>
      <c r="AE42" s="716"/>
      <c r="AF42" s="716">
        <f ca="1">OFFSET(AF42,0,-1)+1</f>
        <v>1</v>
      </c>
      <c r="AG42" s="716">
        <f ca="1">OFFSET(AG42,0,-1)+1</f>
        <v>2</v>
      </c>
      <c r="AH42" s="716">
        <f ca="1">OFFSET(AH42,0,-1)+1</f>
        <v>3</v>
      </c>
      <c r="AI42" s="1272">
        <f ca="1">OFFSET(AI42,0,-1)+1</f>
        <v>4</v>
      </c>
      <c r="AJ42" s="1272"/>
      <c r="AK42" s="716">
        <f ca="1">OFFSET(AK42,0,-2)+1</f>
        <v>5</v>
      </c>
      <c r="AL42" s="710">
        <f ca="1">OFFSET(AL42,0,-1)</f>
        <v>5</v>
      </c>
      <c r="AM42" s="716">
        <f ca="1">OFFSET(AM42,0,-1)+1</f>
        <v>6</v>
      </c>
      <c r="AN42" s="68"/>
      <c r="AO42" s="68"/>
      <c r="AP42" s="68"/>
      <c r="AQ42" s="68"/>
      <c r="AR42" s="68"/>
    </row>
    <row r="43" spans="1:44" ht="21" customHeight="1">
      <c r="A43" s="759" t="s">
        <v>169</v>
      </c>
      <c r="B43" s="759"/>
      <c r="C43" s="759"/>
      <c r="D43" s="759"/>
      <c r="E43" s="1265">
        <v>1</v>
      </c>
      <c r="F43" s="759"/>
      <c r="G43" s="759"/>
      <c r="H43" s="759"/>
      <c r="I43" s="759"/>
      <c r="J43" s="759"/>
      <c r="K43" s="759"/>
      <c r="L43" s="760"/>
      <c r="M43" s="417"/>
      <c r="N43" s="417"/>
      <c r="O43" s="417"/>
      <c r="Q43" s="35"/>
      <c r="R43" s="205"/>
      <c r="S43" s="698">
        <f>INDEX(PT_DIFFERENTIATION_NUM_NTAR,MATCH(A43,PT_DIFFERENTIATION_NTAR_ID,0))</f>
        <v>0</v>
      </c>
      <c r="T43" s="67" t="s">
        <v>124</v>
      </c>
      <c r="U43" s="169"/>
      <c r="V43" s="1251"/>
      <c r="W43" s="1252"/>
      <c r="X43" s="1252"/>
      <c r="Y43" s="1252"/>
      <c r="Z43" s="1252"/>
      <c r="AA43" s="1252"/>
      <c r="AB43" s="1252"/>
      <c r="AC43" s="1253"/>
      <c r="AD43" s="1251" t="str">
        <f>INDEX(PT_DIFFERENTIATION_NTAR,MATCH(A43,PT_DIFFERENTIATION_NTAR_ID,0))</f>
        <v/>
      </c>
      <c r="AE43" s="1252"/>
      <c r="AF43" s="1252"/>
      <c r="AG43" s="1252"/>
      <c r="AH43" s="1252"/>
      <c r="AI43" s="1252"/>
      <c r="AJ43" s="1252"/>
      <c r="AK43" s="1252"/>
      <c r="AL43" s="1253"/>
      <c r="AM43" s="71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row>
    <row r="44" spans="1:44" ht="21" customHeight="1">
      <c r="A44" s="759" t="s">
        <v>169</v>
      </c>
      <c r="B44" s="759" t="s">
        <v>170</v>
      </c>
      <c r="C44" s="759"/>
      <c r="D44" s="759"/>
      <c r="E44" s="1266"/>
      <c r="F44" s="1265">
        <v>1</v>
      </c>
      <c r="G44" s="759"/>
      <c r="H44" s="759"/>
      <c r="I44" s="759"/>
      <c r="J44" s="759"/>
      <c r="K44" s="759"/>
      <c r="L44" s="760"/>
      <c r="M44" s="417"/>
      <c r="N44" s="417"/>
      <c r="O44" s="417"/>
      <c r="P44" s="59"/>
      <c r="Q44" s="202"/>
      <c r="R44" s="203"/>
      <c r="S44" s="698" t="str">
        <f>INDEX(PT_DIFFERENTIATION_NUM_TER,MATCH(B44,PT_DIFFERENTIATION_TER_ID,0))</f>
        <v>.</v>
      </c>
      <c r="T44" s="175" t="s">
        <v>396</v>
      </c>
      <c r="U44" s="169"/>
      <c r="V44" s="1251"/>
      <c r="W44" s="1252"/>
      <c r="X44" s="1252"/>
      <c r="Y44" s="1252"/>
      <c r="Z44" s="1252"/>
      <c r="AA44" s="1252"/>
      <c r="AB44" s="1252"/>
      <c r="AC44" s="1253"/>
      <c r="AD44" s="1251" t="str">
        <f>INDEX(PT_DIFFERENTIATION_TER,MATCH(B44,PT_DIFFERENTIATION_TER_ID,0))</f>
        <v/>
      </c>
      <c r="AE44" s="1252"/>
      <c r="AF44" s="1252"/>
      <c r="AG44" s="1252"/>
      <c r="AH44" s="1252"/>
      <c r="AI44" s="1252"/>
      <c r="AJ44" s="1252"/>
      <c r="AK44" s="1252"/>
      <c r="AL44" s="1253"/>
      <c r="AM44" s="718" t="s">
        <v>397</v>
      </c>
      <c r="AO44" s="69"/>
      <c r="AP44" s="69" t="str">
        <f t="shared" si="1"/>
        <v>Территория действия тарифа</v>
      </c>
      <c r="AQ44" s="69"/>
      <c r="AR44" s="69"/>
    </row>
    <row r="45" spans="1:44" ht="23.25" customHeight="1">
      <c r="A45" s="759" t="s">
        <v>169</v>
      </c>
      <c r="B45" s="759" t="s">
        <v>170</v>
      </c>
      <c r="C45" s="759" t="s">
        <v>171</v>
      </c>
      <c r="D45" s="759"/>
      <c r="E45" s="1266"/>
      <c r="F45" s="1266"/>
      <c r="G45" s="1265">
        <v>1</v>
      </c>
      <c r="H45" s="759"/>
      <c r="I45" s="759"/>
      <c r="J45" s="759"/>
      <c r="K45" s="759"/>
      <c r="L45" s="760"/>
      <c r="M45" s="417"/>
      <c r="N45" s="417"/>
      <c r="O45" s="417"/>
      <c r="P45" s="204"/>
      <c r="Q45" s="202"/>
      <c r="R45" s="203"/>
      <c r="S45" s="698" t="str">
        <f>INDEX(PT_DIFFERENTIATION_NUM_CS,MATCH(C45,PT_DIFFERENTIATION_CS_ID,0))</f>
        <v>..</v>
      </c>
      <c r="T45" s="176" t="s">
        <v>398</v>
      </c>
      <c r="U45" s="169"/>
      <c r="V45" s="1251"/>
      <c r="W45" s="1252"/>
      <c r="X45" s="1252"/>
      <c r="Y45" s="1252"/>
      <c r="Z45" s="1252"/>
      <c r="AA45" s="1252"/>
      <c r="AB45" s="1252"/>
      <c r="AC45" s="1253"/>
      <c r="AD45" s="1251" t="str">
        <f>INDEX(PT_DIFFERENTIATION_CS,MATCH(C45,PT_DIFFERENTIATION_CS_ID,0))</f>
        <v/>
      </c>
      <c r="AE45" s="1252"/>
      <c r="AF45" s="1252"/>
      <c r="AG45" s="1252"/>
      <c r="AH45" s="1252"/>
      <c r="AI45" s="1252"/>
      <c r="AJ45" s="1252"/>
      <c r="AK45" s="1252"/>
      <c r="AL45" s="1253"/>
      <c r="AM45" s="718" t="s">
        <v>399</v>
      </c>
      <c r="AO45" s="69"/>
      <c r="AP45" s="69" t="str">
        <f t="shared" si="1"/>
        <v xml:space="preserve">Наименование системы теплоснабжения </v>
      </c>
      <c r="AQ45" s="69"/>
      <c r="AR45" s="69"/>
    </row>
    <row r="46" spans="1:44" ht="21" customHeight="1">
      <c r="A46" s="759" t="s">
        <v>169</v>
      </c>
      <c r="B46" s="759" t="s">
        <v>170</v>
      </c>
      <c r="C46" s="759" t="s">
        <v>171</v>
      </c>
      <c r="D46" s="759" t="s">
        <v>172</v>
      </c>
      <c r="E46" s="1266"/>
      <c r="F46" s="1266"/>
      <c r="G46" s="1266"/>
      <c r="H46" s="1265">
        <v>1</v>
      </c>
      <c r="I46" s="759"/>
      <c r="J46" s="759"/>
      <c r="K46" s="759"/>
      <c r="L46" s="760"/>
      <c r="M46" s="417"/>
      <c r="N46" s="417"/>
      <c r="O46" s="417"/>
      <c r="P46" s="204"/>
      <c r="Q46" s="202"/>
      <c r="R46" s="203"/>
      <c r="S46" s="698" t="str">
        <f>INDEX(PT_DIFFERENTIATION_NUM_IST_TE,MATCH(D46,PT_DIFFERENTIATION_IST_TE_ID,0))</f>
        <v>...</v>
      </c>
      <c r="T46" s="177" t="s">
        <v>400</v>
      </c>
      <c r="U46" s="169"/>
      <c r="V46" s="1251"/>
      <c r="W46" s="1252"/>
      <c r="X46" s="1252"/>
      <c r="Y46" s="1252"/>
      <c r="Z46" s="1252"/>
      <c r="AA46" s="1252"/>
      <c r="AB46" s="1252"/>
      <c r="AC46" s="1253"/>
      <c r="AD46" s="1251" t="str">
        <f>INDEX(PT_DIFFERENTIATION_IST_TE,MATCH(D46,PT_DIFFERENTIATION_IST_TE_ID,0))</f>
        <v/>
      </c>
      <c r="AE46" s="1252"/>
      <c r="AF46" s="1252"/>
      <c r="AG46" s="1252"/>
      <c r="AH46" s="1252"/>
      <c r="AI46" s="1252"/>
      <c r="AJ46" s="1252"/>
      <c r="AK46" s="1252"/>
      <c r="AL46" s="1253"/>
      <c r="AM46" s="718" t="s">
        <v>401</v>
      </c>
      <c r="AO46" s="69"/>
      <c r="AP46" s="69" t="str">
        <f t="shared" si="1"/>
        <v xml:space="preserve">Источник тепловой энергии  </v>
      </c>
      <c r="AQ46" s="69"/>
      <c r="AR46" s="69"/>
    </row>
    <row r="47" spans="1:44" s="68" customFormat="1" ht="0" hidden="1" customHeight="1">
      <c r="A47" s="143" t="s">
        <v>169</v>
      </c>
      <c r="B47" s="143" t="s">
        <v>170</v>
      </c>
      <c r="C47" s="143" t="s">
        <v>171</v>
      </c>
      <c r="D47" s="143" t="s">
        <v>172</v>
      </c>
      <c r="E47" s="1266"/>
      <c r="F47" s="1266"/>
      <c r="G47" s="1266"/>
      <c r="H47" s="1266"/>
      <c r="I47" s="1263" t="str">
        <f>S46&amp;".1"</f>
        <v>....1</v>
      </c>
      <c r="J47" s="143"/>
      <c r="K47" s="143"/>
      <c r="L47" s="338" t="s">
        <v>402</v>
      </c>
      <c r="M47" s="288"/>
      <c r="N47" s="288"/>
      <c r="O47" s="288"/>
      <c r="P47" s="1264">
        <v>1</v>
      </c>
      <c r="Q47" s="120"/>
      <c r="R47" s="206"/>
      <c r="S47" s="353"/>
      <c r="T47" s="769"/>
      <c r="U47" s="770"/>
      <c r="V47" s="1294"/>
      <c r="W47" s="1295"/>
      <c r="X47" s="1295"/>
      <c r="Y47" s="1295"/>
      <c r="Z47" s="1295"/>
      <c r="AA47" s="1295"/>
      <c r="AB47" s="1295"/>
      <c r="AC47" s="1296"/>
      <c r="AD47" s="1294"/>
      <c r="AE47" s="1295"/>
      <c r="AF47" s="1295"/>
      <c r="AG47" s="1295"/>
      <c r="AH47" s="1295"/>
      <c r="AI47" s="1295"/>
      <c r="AJ47" s="1295"/>
      <c r="AK47" s="1295"/>
      <c r="AL47" s="1296"/>
      <c r="AM47" s="771"/>
      <c r="AO47" s="69"/>
      <c r="AP47" s="69" t="str">
        <f t="shared" si="1"/>
        <v/>
      </c>
      <c r="AQ47" s="69"/>
      <c r="AR47" s="69"/>
    </row>
    <row r="48" spans="1:44" ht="21" customHeight="1">
      <c r="A48" s="759" t="s">
        <v>169</v>
      </c>
      <c r="B48" s="759" t="s">
        <v>170</v>
      </c>
      <c r="C48" s="759" t="s">
        <v>171</v>
      </c>
      <c r="D48" s="759" t="s">
        <v>172</v>
      </c>
      <c r="E48" s="1266"/>
      <c r="F48" s="1266"/>
      <c r="G48" s="1266"/>
      <c r="H48" s="1266"/>
      <c r="I48" s="1286"/>
      <c r="J48" s="1263" t="str">
        <f>S46&amp;".1"</f>
        <v>....1</v>
      </c>
      <c r="K48" s="759"/>
      <c r="L48" s="760" t="s">
        <v>405</v>
      </c>
      <c r="P48" s="1264"/>
      <c r="Q48" s="1264">
        <v>1</v>
      </c>
      <c r="R48" s="207"/>
      <c r="S48" s="698" t="str">
        <f>$J48</f>
        <v>....1</v>
      </c>
      <c r="T48" s="163" t="s">
        <v>406</v>
      </c>
      <c r="U48" s="169"/>
      <c r="V48" s="1254"/>
      <c r="W48" s="1255"/>
      <c r="X48" s="1255"/>
      <c r="Y48" s="1255"/>
      <c r="Z48" s="1255"/>
      <c r="AA48" s="1255"/>
      <c r="AB48" s="1255"/>
      <c r="AC48" s="1256"/>
      <c r="AD48" s="1254"/>
      <c r="AE48" s="1255"/>
      <c r="AF48" s="1255"/>
      <c r="AG48" s="1255"/>
      <c r="AH48" s="1255"/>
      <c r="AI48" s="1255"/>
      <c r="AJ48" s="1255"/>
      <c r="AK48" s="1255"/>
      <c r="AL48" s="1256"/>
      <c r="AM48" s="718" t="s">
        <v>407</v>
      </c>
      <c r="AO48" s="69"/>
      <c r="AP48" s="69" t="str">
        <f t="shared" si="1"/>
        <v>Группа потребителей</v>
      </c>
      <c r="AQ48" s="69"/>
      <c r="AR48" s="69"/>
    </row>
    <row r="49" spans="1:44" ht="21" customHeight="1">
      <c r="A49" s="759" t="s">
        <v>169</v>
      </c>
      <c r="B49" s="759" t="s">
        <v>170</v>
      </c>
      <c r="C49" s="759" t="s">
        <v>171</v>
      </c>
      <c r="D49" s="759" t="s">
        <v>172</v>
      </c>
      <c r="E49" s="1266"/>
      <c r="F49" s="1266"/>
      <c r="G49" s="1266"/>
      <c r="H49" s="1266"/>
      <c r="I49" s="1286"/>
      <c r="J49" s="1286"/>
      <c r="K49" s="1263" t="str">
        <f>J48&amp;".1"</f>
        <v>....1.1</v>
      </c>
      <c r="L49" s="760" t="s">
        <v>408</v>
      </c>
      <c r="P49" s="1264"/>
      <c r="Q49" s="1264"/>
      <c r="R49" s="207">
        <v>1</v>
      </c>
      <c r="S49" s="698" t="str">
        <f>$K49</f>
        <v>....1.1</v>
      </c>
      <c r="T49" s="755"/>
      <c r="U49" s="169"/>
      <c r="V49" s="304"/>
      <c r="W49" s="189"/>
      <c r="X49" s="304"/>
      <c r="Y49" s="717"/>
      <c r="Z49" s="1268"/>
      <c r="AA49" s="1127" t="s">
        <v>62</v>
      </c>
      <c r="AB49" s="1268"/>
      <c r="AC49" s="1127" t="s">
        <v>62</v>
      </c>
      <c r="AD49" s="304"/>
      <c r="AE49" s="189"/>
      <c r="AF49" s="304"/>
      <c r="AG49" s="717"/>
      <c r="AH49" s="1268"/>
      <c r="AI49" s="1127" t="s">
        <v>62</v>
      </c>
      <c r="AJ49" s="1287"/>
      <c r="AK49" s="1127" t="s">
        <v>62</v>
      </c>
      <c r="AL49" s="756"/>
      <c r="AM49" s="1260" t="s">
        <v>450</v>
      </c>
      <c r="AN49" s="68" t="e">
        <f ca="1">STRCHECKDATE(V50:AL50)</f>
        <v>#NAME?</v>
      </c>
      <c r="AO49" s="69"/>
      <c r="AP49" s="69" t="str">
        <f t="shared" si="1"/>
        <v/>
      </c>
      <c r="AQ49" s="69"/>
      <c r="AR49" s="69"/>
    </row>
    <row r="50" spans="1:44" ht="0.75" customHeight="1">
      <c r="A50" s="759" t="s">
        <v>169</v>
      </c>
      <c r="B50" s="759" t="s">
        <v>170</v>
      </c>
      <c r="C50" s="759" t="s">
        <v>171</v>
      </c>
      <c r="D50" s="759" t="s">
        <v>172</v>
      </c>
      <c r="E50" s="1266"/>
      <c r="F50" s="1266"/>
      <c r="G50" s="1266"/>
      <c r="H50" s="1266"/>
      <c r="I50" s="1286"/>
      <c r="J50" s="1286"/>
      <c r="K50" s="1263"/>
      <c r="L50" s="760"/>
      <c r="P50" s="1264"/>
      <c r="Q50" s="1264"/>
      <c r="R50" s="207"/>
      <c r="S50" s="65"/>
      <c r="T50" s="169"/>
      <c r="U50" s="169"/>
      <c r="V50" s="189"/>
      <c r="W50" s="189"/>
      <c r="X50" s="189"/>
      <c r="Y50" s="190" t="str">
        <f>Z49&amp;"-"&amp;AB49</f>
        <v>-</v>
      </c>
      <c r="Z50" s="1269"/>
      <c r="AA50" s="1127"/>
      <c r="AB50" s="1269"/>
      <c r="AC50" s="1127"/>
      <c r="AD50" s="189"/>
      <c r="AE50" s="189"/>
      <c r="AF50" s="189"/>
      <c r="AG50" s="190" t="str">
        <f>AH49&amp;"-"&amp;AJ49</f>
        <v>-</v>
      </c>
      <c r="AH50" s="1269"/>
      <c r="AI50" s="1127"/>
      <c r="AJ50" s="1288"/>
      <c r="AK50" s="1127"/>
      <c r="AL50" s="757"/>
      <c r="AM50" s="1261"/>
      <c r="AO50" s="69"/>
      <c r="AP50" s="69" t="str">
        <f t="shared" si="1"/>
        <v/>
      </c>
      <c r="AQ50" s="69"/>
      <c r="AR50" s="69"/>
    </row>
    <row r="51" spans="1:44" ht="11.25" customHeight="1">
      <c r="A51" s="759" t="s">
        <v>169</v>
      </c>
      <c r="B51" s="759" t="s">
        <v>170</v>
      </c>
      <c r="C51" s="759" t="s">
        <v>171</v>
      </c>
      <c r="D51" s="759" t="s">
        <v>172</v>
      </c>
      <c r="E51" s="1266"/>
      <c r="F51" s="1266"/>
      <c r="G51" s="1266"/>
      <c r="H51" s="1266"/>
      <c r="I51" s="1286"/>
      <c r="J51" s="1263"/>
      <c r="K51" s="759"/>
      <c r="L51" s="760"/>
      <c r="P51" s="1264"/>
      <c r="Q51" s="1264"/>
      <c r="R51" s="206"/>
      <c r="S51" s="732"/>
      <c r="T51" s="164" t="s">
        <v>410</v>
      </c>
      <c r="U51" s="211"/>
      <c r="V51" s="211"/>
      <c r="W51" s="211"/>
      <c r="X51" s="211"/>
      <c r="Y51" s="211"/>
      <c r="Z51" s="211"/>
      <c r="AA51" s="211"/>
      <c r="AB51" s="211"/>
      <c r="AC51" s="211"/>
      <c r="AD51" s="211"/>
      <c r="AE51" s="211"/>
      <c r="AF51" s="211"/>
      <c r="AG51" s="211"/>
      <c r="AH51" s="211"/>
      <c r="AI51" s="211"/>
      <c r="AJ51" s="211"/>
      <c r="AK51" s="211"/>
      <c r="AL51" s="188"/>
      <c r="AM51" s="1262"/>
      <c r="AO51" s="69"/>
      <c r="AP51" s="69" t="str">
        <f t="shared" si="1"/>
        <v>Добавить вид теплоносителя (параметры теплоносителя)</v>
      </c>
      <c r="AQ51" s="69"/>
      <c r="AR51" s="69"/>
    </row>
    <row r="52" spans="1:44" ht="11.25" customHeight="1">
      <c r="A52" s="759" t="s">
        <v>169</v>
      </c>
      <c r="B52" s="759" t="s">
        <v>170</v>
      </c>
      <c r="C52" s="759" t="s">
        <v>171</v>
      </c>
      <c r="D52" s="759" t="s">
        <v>172</v>
      </c>
      <c r="E52" s="1266"/>
      <c r="F52" s="1266"/>
      <c r="G52" s="1266"/>
      <c r="H52" s="1266"/>
      <c r="I52" s="1263"/>
      <c r="J52" s="759"/>
      <c r="K52" s="759"/>
      <c r="L52" s="760"/>
      <c r="P52" s="1264"/>
      <c r="Q52" s="120"/>
      <c r="R52" s="206"/>
      <c r="S52" s="732"/>
      <c r="T52" s="209" t="s">
        <v>411</v>
      </c>
      <c r="U52" s="211"/>
      <c r="V52" s="211"/>
      <c r="W52" s="211"/>
      <c r="X52" s="211"/>
      <c r="Y52" s="211"/>
      <c r="Z52" s="211"/>
      <c r="AA52" s="211"/>
      <c r="AB52" s="211"/>
      <c r="AC52" s="210"/>
      <c r="AD52" s="211"/>
      <c r="AE52" s="211"/>
      <c r="AF52" s="211"/>
      <c r="AG52" s="211"/>
      <c r="AH52" s="211"/>
      <c r="AI52" s="211"/>
      <c r="AJ52" s="211"/>
      <c r="AK52" s="210"/>
      <c r="AL52" s="211"/>
      <c r="AM52" s="172"/>
      <c r="AO52" s="69"/>
      <c r="AP52" s="69" t="str">
        <f t="shared" si="1"/>
        <v>Добавить группу потребителей</v>
      </c>
      <c r="AQ52" s="69"/>
      <c r="AR52" s="69"/>
    </row>
    <row r="53" spans="1:44" ht="0" hidden="1" customHeight="1">
      <c r="A53" s="759" t="s">
        <v>169</v>
      </c>
      <c r="B53" s="759" t="s">
        <v>170</v>
      </c>
      <c r="C53" s="759" t="s">
        <v>171</v>
      </c>
      <c r="D53" s="759" t="s">
        <v>172</v>
      </c>
      <c r="E53" s="1266"/>
      <c r="F53" s="1266"/>
      <c r="G53" s="1266"/>
      <c r="H53" s="1265"/>
      <c r="I53" s="759"/>
      <c r="J53" s="759"/>
      <c r="K53" s="759"/>
      <c r="L53" s="760"/>
      <c r="M53" s="417"/>
      <c r="N53" s="417"/>
      <c r="O53" s="63"/>
      <c r="P53" s="35"/>
      <c r="Q53" s="214"/>
      <c r="R53" s="205"/>
      <c r="S53" s="772"/>
      <c r="T53" s="773"/>
      <c r="U53" s="774"/>
      <c r="V53" s="774"/>
      <c r="W53" s="774"/>
      <c r="X53" s="774"/>
      <c r="Y53" s="774"/>
      <c r="Z53" s="774"/>
      <c r="AA53" s="774"/>
      <c r="AB53" s="774"/>
      <c r="AC53" s="774"/>
      <c r="AD53" s="774"/>
      <c r="AE53" s="774"/>
      <c r="AF53" s="774"/>
      <c r="AG53" s="774"/>
      <c r="AH53" s="774"/>
      <c r="AI53" s="774"/>
      <c r="AJ53" s="774"/>
      <c r="AK53" s="774"/>
      <c r="AL53" s="774"/>
      <c r="AM53" s="775"/>
      <c r="AO53" s="69"/>
      <c r="AP53" s="69" t="str">
        <f t="shared" si="1"/>
        <v/>
      </c>
      <c r="AQ53" s="69"/>
      <c r="AR53" s="69"/>
    </row>
    <row r="54" spans="1:44" s="68" customFormat="1" ht="0.75" customHeight="1">
      <c r="A54" s="143" t="s">
        <v>169</v>
      </c>
      <c r="B54" s="143" t="s">
        <v>170</v>
      </c>
      <c r="C54" s="143" t="s">
        <v>171</v>
      </c>
      <c r="D54" s="143"/>
      <c r="E54" s="1266"/>
      <c r="F54" s="1266"/>
      <c r="G54" s="1265"/>
      <c r="H54" s="143"/>
      <c r="I54" s="143"/>
      <c r="J54" s="143"/>
      <c r="K54" s="143"/>
      <c r="L54" s="338"/>
      <c r="M54" s="291"/>
      <c r="N54" s="291"/>
      <c r="P54" s="102"/>
      <c r="Q54" s="745"/>
      <c r="R54" s="102"/>
      <c r="S54" s="750"/>
      <c r="T54" s="752" t="s">
        <v>413</v>
      </c>
      <c r="U54" s="311"/>
      <c r="V54" s="311"/>
      <c r="W54" s="311"/>
      <c r="X54" s="311"/>
      <c r="Y54" s="311"/>
      <c r="Z54" s="311"/>
      <c r="AA54" s="311"/>
      <c r="AB54" s="311"/>
      <c r="AC54" s="311"/>
      <c r="AD54" s="311"/>
      <c r="AE54" s="311"/>
      <c r="AF54" s="311"/>
      <c r="AG54" s="311"/>
      <c r="AH54" s="311"/>
      <c r="AI54" s="311"/>
      <c r="AJ54" s="311"/>
      <c r="AK54" s="311"/>
      <c r="AL54" s="311"/>
      <c r="AM54" s="311"/>
      <c r="AO54" s="69"/>
      <c r="AP54" s="69" t="str">
        <f t="shared" si="1"/>
        <v>Добавить источник для дифференциации</v>
      </c>
      <c r="AQ54" s="69"/>
      <c r="AR54" s="69"/>
    </row>
    <row r="55" spans="1:44" s="68" customFormat="1" ht="0.75" customHeight="1">
      <c r="A55" s="143" t="s">
        <v>169</v>
      </c>
      <c r="B55" s="143" t="s">
        <v>170</v>
      </c>
      <c r="C55" s="143"/>
      <c r="D55" s="143"/>
      <c r="E55" s="1266"/>
      <c r="F55" s="1265"/>
      <c r="G55" s="143"/>
      <c r="H55" s="143"/>
      <c r="I55" s="143"/>
      <c r="J55" s="143"/>
      <c r="K55" s="143"/>
      <c r="L55" s="338"/>
      <c r="M55" s="749"/>
      <c r="N55" s="749"/>
      <c r="P55" s="102"/>
      <c r="Q55" s="745"/>
      <c r="R55" s="102"/>
      <c r="S55" s="750"/>
      <c r="T55" s="752" t="s">
        <v>414</v>
      </c>
      <c r="U55" s="311"/>
      <c r="V55" s="311"/>
      <c r="W55" s="311"/>
      <c r="X55" s="311"/>
      <c r="Y55" s="311"/>
      <c r="Z55" s="311"/>
      <c r="AA55" s="311"/>
      <c r="AB55" s="311"/>
      <c r="AC55" s="311"/>
      <c r="AD55" s="311"/>
      <c r="AE55" s="311"/>
      <c r="AF55" s="311"/>
      <c r="AG55" s="311"/>
      <c r="AH55" s="311"/>
      <c r="AI55" s="311"/>
      <c r="AJ55" s="311"/>
      <c r="AK55" s="311"/>
      <c r="AL55" s="311"/>
      <c r="AM55" s="311"/>
      <c r="AO55" s="69"/>
      <c r="AP55" s="69" t="str">
        <f t="shared" si="1"/>
        <v>Добавить централизованную систему для дифференциации</v>
      </c>
      <c r="AQ55" s="69"/>
      <c r="AR55" s="69"/>
    </row>
    <row r="56" spans="1:44" s="68" customFormat="1" ht="0.75" customHeight="1">
      <c r="A56" s="143" t="s">
        <v>169</v>
      </c>
      <c r="B56" s="143"/>
      <c r="C56" s="143"/>
      <c r="D56" s="143"/>
      <c r="E56" s="1265"/>
      <c r="F56" s="143"/>
      <c r="G56" s="143"/>
      <c r="H56" s="143"/>
      <c r="I56" s="143"/>
      <c r="J56" s="143"/>
      <c r="K56" s="143"/>
      <c r="L56" s="338"/>
      <c r="M56" s="749"/>
      <c r="N56" s="749"/>
      <c r="P56" s="102"/>
      <c r="Q56" s="745"/>
      <c r="R56" s="102"/>
      <c r="S56" s="750"/>
      <c r="T56" s="752" t="s">
        <v>415</v>
      </c>
      <c r="U56" s="311"/>
      <c r="V56" s="311"/>
      <c r="W56" s="311"/>
      <c r="X56" s="311"/>
      <c r="Y56" s="311"/>
      <c r="Z56" s="311"/>
      <c r="AA56" s="311"/>
      <c r="AB56" s="311"/>
      <c r="AC56" s="311"/>
      <c r="AD56" s="311"/>
      <c r="AE56" s="311"/>
      <c r="AF56" s="311"/>
      <c r="AG56" s="311"/>
      <c r="AH56" s="311"/>
      <c r="AI56" s="311"/>
      <c r="AJ56" s="311"/>
      <c r="AK56" s="311"/>
      <c r="AL56" s="311"/>
      <c r="AM56" s="311"/>
      <c r="AO56" s="69"/>
      <c r="AP56" s="69" t="str">
        <f t="shared" si="1"/>
        <v>Добавить территорию для дифференциации</v>
      </c>
      <c r="AQ56" s="69"/>
      <c r="AR56" s="69"/>
    </row>
    <row r="57" spans="1:44" s="68" customFormat="1" ht="0.75" customHeight="1">
      <c r="A57" s="143"/>
      <c r="B57" s="143"/>
      <c r="C57" s="143"/>
      <c r="D57" s="143"/>
      <c r="E57" s="143"/>
      <c r="F57" s="143"/>
      <c r="G57" s="143"/>
      <c r="H57" s="143"/>
      <c r="I57" s="143"/>
      <c r="J57" s="143"/>
      <c r="K57" s="143"/>
      <c r="L57" s="338"/>
      <c r="M57" s="749"/>
      <c r="N57" s="749"/>
      <c r="P57" s="102"/>
      <c r="Q57" s="745"/>
      <c r="R57" s="102"/>
      <c r="S57" s="750"/>
      <c r="T57" s="752" t="s">
        <v>447</v>
      </c>
      <c r="U57" s="311"/>
      <c r="V57" s="311"/>
      <c r="W57" s="311"/>
      <c r="X57" s="311"/>
      <c r="Y57" s="311"/>
      <c r="Z57" s="311"/>
      <c r="AA57" s="311"/>
      <c r="AB57" s="311"/>
      <c r="AC57" s="311"/>
      <c r="AD57" s="311"/>
      <c r="AE57" s="311"/>
      <c r="AF57" s="311"/>
      <c r="AG57" s="311"/>
      <c r="AH57" s="311"/>
      <c r="AI57" s="311"/>
      <c r="AJ57" s="311"/>
      <c r="AK57" s="311"/>
      <c r="AL57" s="311"/>
      <c r="AM57" s="311"/>
      <c r="AO57" s="69"/>
      <c r="AP57" s="69" t="str">
        <f t="shared" si="1"/>
        <v>Добавить наименование тарифа</v>
      </c>
      <c r="AQ57" s="69"/>
      <c r="AR57" s="69"/>
    </row>
    <row r="58" spans="1:44" ht="11.25" customHeight="1">
      <c r="M58" s="63"/>
      <c r="N58" s="63"/>
      <c r="O58" s="63"/>
      <c r="P58" s="12"/>
      <c r="Q58" s="12"/>
      <c r="R58" s="12"/>
      <c r="S58" s="12"/>
      <c r="AN58" s="12"/>
      <c r="AO58" s="12"/>
      <c r="AP58" s="12"/>
      <c r="AQ58" s="12"/>
      <c r="AR58" s="12"/>
    </row>
    <row r="59" spans="1:44" ht="18.75" customHeight="1">
      <c r="O59" s="63"/>
      <c r="S59" s="196"/>
      <c r="T59" s="1285"/>
      <c r="U59" s="1285"/>
      <c r="V59" s="1285"/>
      <c r="W59" s="1285"/>
      <c r="X59" s="1285"/>
      <c r="Y59" s="1285"/>
      <c r="Z59" s="1285"/>
      <c r="AA59" s="1285"/>
      <c r="AB59" s="1285"/>
      <c r="AC59" s="1285"/>
      <c r="AD59" s="1285"/>
      <c r="AE59" s="1285"/>
      <c r="AF59" s="1285"/>
      <c r="AG59" s="1285"/>
      <c r="AH59" s="1285"/>
      <c r="AI59" s="1285"/>
      <c r="AJ59" s="1285"/>
      <c r="AK59" s="1285"/>
      <c r="AL59" s="1285"/>
      <c r="AM59" s="1285"/>
    </row>
    <row r="60" spans="1:44" ht="27.75" customHeight="1">
      <c r="O60" s="63"/>
      <c r="T60" s="1285"/>
      <c r="U60" s="1285"/>
      <c r="V60" s="1285"/>
      <c r="W60" s="1285"/>
      <c r="X60" s="1285"/>
      <c r="Y60" s="1285"/>
      <c r="Z60" s="1285"/>
      <c r="AA60" s="1285"/>
      <c r="AB60" s="1285"/>
      <c r="AC60" s="1285"/>
      <c r="AD60" s="1285"/>
      <c r="AE60" s="1285"/>
      <c r="AF60" s="1285"/>
      <c r="AG60" s="1285"/>
      <c r="AH60" s="1285"/>
      <c r="AI60" s="1285"/>
      <c r="AJ60" s="1285"/>
      <c r="AK60" s="1285"/>
      <c r="AL60" s="1285"/>
      <c r="AM60" s="1285"/>
    </row>
    <row r="61" spans="1:44" ht="39.75" customHeight="1">
      <c r="O61" s="63"/>
      <c r="T61" s="1285"/>
      <c r="U61" s="1285"/>
      <c r="V61" s="1285"/>
      <c r="W61" s="1285"/>
      <c r="X61" s="1285"/>
      <c r="Y61" s="1285"/>
      <c r="Z61" s="1285"/>
      <c r="AA61" s="1285"/>
      <c r="AB61" s="1285"/>
      <c r="AC61" s="1285"/>
      <c r="AD61" s="1285"/>
      <c r="AE61" s="1285"/>
      <c r="AF61" s="1285"/>
      <c r="AG61" s="1285"/>
      <c r="AH61" s="1285"/>
      <c r="AI61" s="1285"/>
      <c r="AJ61" s="1285"/>
      <c r="AK61" s="1285"/>
      <c r="AL61" s="1285"/>
      <c r="AM61" s="1285"/>
    </row>
    <row r="62" spans="1:44" ht="14.25" customHeight="1">
      <c r="O62" s="63"/>
    </row>
    <row r="63" spans="1:44" ht="19.5" customHeight="1">
      <c r="O63" s="63"/>
      <c r="S63" s="196"/>
      <c r="T63" s="1192"/>
      <c r="U63" s="1285"/>
      <c r="V63" s="1285"/>
      <c r="W63" s="1285"/>
      <c r="X63" s="1285"/>
      <c r="Y63" s="1285"/>
      <c r="Z63" s="1285"/>
      <c r="AA63" s="1285"/>
      <c r="AB63" s="1285"/>
      <c r="AC63" s="1285"/>
      <c r="AD63" s="1285"/>
      <c r="AE63" s="1285"/>
      <c r="AF63" s="1285"/>
      <c r="AG63" s="1285"/>
      <c r="AH63" s="1285"/>
      <c r="AI63" s="1285"/>
      <c r="AJ63" s="1285"/>
      <c r="AK63" s="1285"/>
      <c r="AL63" s="1285"/>
      <c r="AM63" s="1285"/>
    </row>
    <row r="64" spans="1:44" ht="27.75" customHeight="1">
      <c r="O64" s="63"/>
      <c r="T64" s="1285"/>
      <c r="U64" s="1285"/>
      <c r="V64" s="1285"/>
      <c r="W64" s="1285"/>
      <c r="X64" s="1285"/>
      <c r="Y64" s="1285"/>
      <c r="Z64" s="1285"/>
      <c r="AA64" s="1285"/>
      <c r="AB64" s="1285"/>
      <c r="AC64" s="1285"/>
      <c r="AD64" s="1285"/>
      <c r="AE64" s="1285"/>
      <c r="AF64" s="1285"/>
      <c r="AG64" s="1285"/>
      <c r="AH64" s="1285"/>
      <c r="AI64" s="1285"/>
      <c r="AJ64" s="1285"/>
      <c r="AK64" s="1285"/>
      <c r="AL64" s="1285"/>
      <c r="AM64" s="1285"/>
    </row>
    <row r="65" spans="20:39" ht="33.75" customHeight="1">
      <c r="T65" s="1285"/>
      <c r="U65" s="1285"/>
      <c r="V65" s="1285"/>
      <c r="W65" s="1285"/>
      <c r="X65" s="1285"/>
      <c r="Y65" s="1285"/>
      <c r="Z65" s="1285"/>
      <c r="AA65" s="1285"/>
      <c r="AB65" s="1285"/>
      <c r="AC65" s="1285"/>
      <c r="AD65" s="1285"/>
      <c r="AE65" s="1285"/>
      <c r="AF65" s="1285"/>
      <c r="AG65" s="1285"/>
      <c r="AH65" s="1285"/>
      <c r="AI65" s="1285"/>
      <c r="AJ65" s="1285"/>
      <c r="AK65" s="1285"/>
      <c r="AL65" s="1285"/>
      <c r="AM65" s="1285"/>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72242-932B-55CE-7D53-B6DC9DB56D81}">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299" hidden="1" customWidth="1"/>
    <col min="13" max="14" width="12.28515625" style="497" hidden="1" customWidth="1"/>
    <col min="15" max="15" width="23.42578125" style="497" hidden="1" customWidth="1"/>
    <col min="16" max="16" width="3.7109375" style="34" hidden="1" customWidth="1"/>
    <col min="17" max="18" width="3.7109375" style="30" customWidth="1"/>
    <col min="19" max="19" width="12.7109375" style="334" customWidth="1"/>
    <col min="20" max="20" width="32" style="12" customWidth="1"/>
    <col min="21" max="21" width="0.140625" style="12" customWidth="1"/>
    <col min="22" max="22" width="24.7109375" style="12" hidden="1" customWidth="1"/>
    <col min="23" max="23" width="0.140625" style="12" hidden="1" customWidth="1"/>
    <col min="24" max="25" width="24.7109375" style="12" hidden="1" customWidth="1"/>
    <col min="26" max="26" width="11.7109375" style="12" hidden="1" customWidth="1"/>
    <col min="27" max="27" width="3.7109375" style="12" hidden="1" customWidth="1"/>
    <col min="28" max="28" width="11.7109375" style="12" hidden="1" customWidth="1"/>
    <col min="29" max="29" width="8.5703125" style="12" hidden="1" customWidth="1"/>
    <col min="30" max="30" width="24.7109375" style="12" customWidth="1"/>
    <col min="31" max="31" width="0.140625" style="12" customWidth="1"/>
    <col min="32" max="33" width="24.7109375" style="12" customWidth="1"/>
    <col min="34" max="34" width="11.7109375" style="12" customWidth="1"/>
    <col min="35" max="35" width="3.7109375" style="12" customWidth="1"/>
    <col min="36" max="36" width="11.7109375" style="12" customWidth="1"/>
    <col min="37" max="37" width="8.5703125" style="12" hidden="1" customWidth="1"/>
    <col min="38" max="38" width="4.7109375" style="12" customWidth="1"/>
    <col min="39" max="39" width="115.7109375" style="12" customWidth="1"/>
    <col min="40" max="41" width="10.5703125" style="68"/>
    <col min="42" max="42" width="11.140625" style="68" customWidth="1"/>
    <col min="43" max="44" width="10.5703125" style="68"/>
  </cols>
  <sheetData>
    <row r="1" spans="1:44" ht="14.25" hidden="1" customHeight="1">
      <c r="A1" s="1002"/>
    </row>
    <row r="2" spans="1:44" ht="21" hidden="1" customHeight="1">
      <c r="A2" s="759"/>
      <c r="B2" s="759"/>
      <c r="C2" s="759"/>
      <c r="D2" s="759"/>
      <c r="E2" s="1265">
        <v>1</v>
      </c>
      <c r="F2" s="759"/>
      <c r="G2" s="759"/>
      <c r="H2" s="759"/>
      <c r="I2" s="759"/>
      <c r="J2" s="759"/>
      <c r="K2" s="759"/>
      <c r="L2" s="760"/>
      <c r="M2" s="417"/>
      <c r="N2" s="417"/>
      <c r="O2" s="417"/>
      <c r="Q2" s="35"/>
      <c r="R2" s="205"/>
      <c r="S2" s="698" t="e">
        <f>INDEX(PT_DIFFERENTIATION_NUM_NTAR,MATCH(A2,PT_DIFFERENTIATION_NTAR_ID,0))</f>
        <v>#N/A</v>
      </c>
      <c r="T2" s="67" t="s">
        <v>124</v>
      </c>
      <c r="U2" s="169"/>
      <c r="V2" s="1251"/>
      <c r="W2" s="1252"/>
      <c r="X2" s="1252"/>
      <c r="Y2" s="1252"/>
      <c r="Z2" s="1252"/>
      <c r="AA2" s="1252"/>
      <c r="AB2" s="1252"/>
      <c r="AC2" s="1253"/>
      <c r="AD2" s="1251" t="e">
        <f>INDEX(PT_DIFFERENTIATION_NTAR,MATCH(A2,PT_DIFFERENTIATION_NTAR_ID,0))</f>
        <v>#N/A</v>
      </c>
      <c r="AE2" s="1252"/>
      <c r="AF2" s="1252"/>
      <c r="AG2" s="1252"/>
      <c r="AH2" s="1252"/>
      <c r="AI2" s="1252"/>
      <c r="AJ2" s="1252"/>
      <c r="AK2" s="1252"/>
      <c r="AL2" s="1253"/>
      <c r="AM2" s="718" t="s">
        <v>395</v>
      </c>
      <c r="AO2" s="69"/>
      <c r="AP2" s="69" t="str">
        <f t="shared" ref="AP2:AP15" si="0">IF(T2="","",T2)</f>
        <v>Наименование тарифа</v>
      </c>
      <c r="AQ2" s="69"/>
      <c r="AR2" s="69"/>
    </row>
    <row r="3" spans="1:44" ht="21" hidden="1" customHeight="1">
      <c r="A3" s="759"/>
      <c r="B3" s="759"/>
      <c r="C3" s="759"/>
      <c r="D3" s="759"/>
      <c r="E3" s="1266"/>
      <c r="F3" s="1265">
        <v>1</v>
      </c>
      <c r="G3" s="759"/>
      <c r="H3" s="759"/>
      <c r="I3" s="759"/>
      <c r="J3" s="759"/>
      <c r="K3" s="759"/>
      <c r="L3" s="760"/>
      <c r="M3" s="417"/>
      <c r="N3" s="417"/>
      <c r="O3" s="417"/>
      <c r="P3" s="59"/>
      <c r="Q3" s="202"/>
      <c r="R3" s="203"/>
      <c r="S3" s="698" t="e">
        <f>INDEX(PT_DIFFERENTIATION_NUM_TER,MATCH(B3,PT_DIFFERENTIATION_TER_ID,0))</f>
        <v>#N/A</v>
      </c>
      <c r="T3" s="175" t="s">
        <v>396</v>
      </c>
      <c r="U3" s="169"/>
      <c r="V3" s="1251"/>
      <c r="W3" s="1252"/>
      <c r="X3" s="1252"/>
      <c r="Y3" s="1252"/>
      <c r="Z3" s="1252"/>
      <c r="AA3" s="1252"/>
      <c r="AB3" s="1252"/>
      <c r="AC3" s="1253"/>
      <c r="AD3" s="1251" t="e">
        <f>INDEX(PT_DIFFERENTIATION_TER,MATCH(B3,PT_DIFFERENTIATION_TER_ID,0))</f>
        <v>#N/A</v>
      </c>
      <c r="AE3" s="1252"/>
      <c r="AF3" s="1252"/>
      <c r="AG3" s="1252"/>
      <c r="AH3" s="1252"/>
      <c r="AI3" s="1252"/>
      <c r="AJ3" s="1252"/>
      <c r="AK3" s="1252"/>
      <c r="AL3" s="1253"/>
      <c r="AM3" s="718" t="s">
        <v>397</v>
      </c>
      <c r="AO3" s="69"/>
      <c r="AP3" s="69" t="str">
        <f t="shared" si="0"/>
        <v>Территория действия тарифа</v>
      </c>
      <c r="AQ3" s="69"/>
      <c r="AR3" s="69"/>
    </row>
    <row r="4" spans="1:44" ht="23.25" hidden="1" customHeight="1">
      <c r="A4" s="759"/>
      <c r="B4" s="759"/>
      <c r="C4" s="759"/>
      <c r="D4" s="759"/>
      <c r="E4" s="1266"/>
      <c r="F4" s="1266"/>
      <c r="G4" s="1265">
        <v>1</v>
      </c>
      <c r="H4" s="759"/>
      <c r="I4" s="759"/>
      <c r="J4" s="759"/>
      <c r="K4" s="759"/>
      <c r="L4" s="760"/>
      <c r="M4" s="417"/>
      <c r="N4" s="417"/>
      <c r="O4" s="417"/>
      <c r="P4" s="204"/>
      <c r="Q4" s="202"/>
      <c r="R4" s="203"/>
      <c r="S4" s="1036" t="e">
        <f>INDEX(PT_DIFFERENTIATION_NUM_CS,MATCH(C4,PT_DIFFERENTIATION_CS_ID,0))</f>
        <v>#N/A</v>
      </c>
      <c r="T4" s="1053" t="s">
        <v>398</v>
      </c>
      <c r="U4" s="1054"/>
      <c r="V4" s="1297"/>
      <c r="W4" s="1298"/>
      <c r="X4" s="1298"/>
      <c r="Y4" s="1298"/>
      <c r="Z4" s="1298"/>
      <c r="AA4" s="1298"/>
      <c r="AB4" s="1298"/>
      <c r="AC4" s="1299"/>
      <c r="AD4" s="1297" t="e">
        <f>INDEX(PT_DIFFERENTIATION_CS,MATCH(C4,PT_DIFFERENTIATION_CS_ID,0))</f>
        <v>#N/A</v>
      </c>
      <c r="AE4" s="1298"/>
      <c r="AF4" s="1298"/>
      <c r="AG4" s="1298"/>
      <c r="AH4" s="1298"/>
      <c r="AI4" s="1298"/>
      <c r="AJ4" s="1298"/>
      <c r="AK4" s="1298"/>
      <c r="AL4" s="1299"/>
      <c r="AM4" s="718" t="s">
        <v>399</v>
      </c>
      <c r="AO4" s="69"/>
      <c r="AP4" s="69" t="str">
        <f t="shared" si="0"/>
        <v xml:space="preserve">Наименование системы теплоснабжения </v>
      </c>
      <c r="AQ4" s="69"/>
      <c r="AR4" s="69"/>
    </row>
    <row r="5" spans="1:44" ht="21" hidden="1" customHeight="1">
      <c r="A5" s="759"/>
      <c r="B5" s="759"/>
      <c r="C5" s="759"/>
      <c r="D5" s="759"/>
      <c r="E5" s="1266"/>
      <c r="F5" s="1266"/>
      <c r="G5" s="1266"/>
      <c r="H5" s="1265">
        <v>1</v>
      </c>
      <c r="I5" s="759"/>
      <c r="J5" s="759"/>
      <c r="K5" s="759"/>
      <c r="L5" s="760"/>
      <c r="M5" s="417"/>
      <c r="N5" s="417"/>
      <c r="O5" s="417"/>
      <c r="P5" s="204"/>
      <c r="Q5" s="202"/>
      <c r="R5" s="12"/>
      <c r="S5" s="698" t="e">
        <f>INDEX(PT_DIFFERENTIATION_NUM_IST_TE,MATCH(D5,PT_DIFFERENTIATION_IST_TE_ID,0))</f>
        <v>#N/A</v>
      </c>
      <c r="T5" s="177" t="s">
        <v>400</v>
      </c>
      <c r="U5" s="169"/>
      <c r="V5" s="1300"/>
      <c r="W5" s="1300"/>
      <c r="X5" s="1300"/>
      <c r="Y5" s="1300"/>
      <c r="Z5" s="1300"/>
      <c r="AA5" s="1300"/>
      <c r="AB5" s="1300"/>
      <c r="AC5" s="1300"/>
      <c r="AD5" s="1300" t="e">
        <f>INDEX(PT_DIFFERENTIATION_IST_TE,MATCH(D5,PT_DIFFERENTIATION_IST_TE_ID,0))</f>
        <v>#N/A</v>
      </c>
      <c r="AE5" s="1300"/>
      <c r="AF5" s="1300"/>
      <c r="AG5" s="1300"/>
      <c r="AH5" s="1300"/>
      <c r="AI5" s="1300"/>
      <c r="AJ5" s="1300"/>
      <c r="AK5" s="1300"/>
      <c r="AL5" s="1300"/>
      <c r="AM5" s="1051" t="s">
        <v>401</v>
      </c>
      <c r="AO5" s="69"/>
      <c r="AP5" s="69" t="str">
        <f t="shared" si="0"/>
        <v xml:space="preserve">Источник тепловой энергии  </v>
      </c>
      <c r="AQ5" s="69"/>
      <c r="AR5" s="69"/>
    </row>
    <row r="6" spans="1:44" ht="0.75" hidden="1" customHeight="1">
      <c r="A6" s="759"/>
      <c r="B6" s="759"/>
      <c r="C6" s="759"/>
      <c r="D6" s="759"/>
      <c r="E6" s="1266"/>
      <c r="F6" s="1266"/>
      <c r="G6" s="1266"/>
      <c r="H6" s="1266"/>
      <c r="I6" s="1263" t="e">
        <f>S5&amp;".1"</f>
        <v>#N/A</v>
      </c>
      <c r="J6" s="759"/>
      <c r="K6" s="759"/>
      <c r="L6" s="760" t="s">
        <v>402</v>
      </c>
      <c r="M6" s="63"/>
      <c r="P6" s="1264">
        <v>1</v>
      </c>
      <c r="Q6" s="120"/>
      <c r="R6" s="120"/>
      <c r="S6" s="353"/>
      <c r="T6" s="769"/>
      <c r="U6" s="770"/>
      <c r="V6" s="1301"/>
      <c r="W6" s="1301"/>
      <c r="X6" s="1301"/>
      <c r="Y6" s="1301"/>
      <c r="Z6" s="1301"/>
      <c r="AA6" s="1301"/>
      <c r="AB6" s="1301"/>
      <c r="AC6" s="1301"/>
      <c r="AD6" s="1301"/>
      <c r="AE6" s="1301"/>
      <c r="AF6" s="1301"/>
      <c r="AG6" s="1301"/>
      <c r="AH6" s="1301"/>
      <c r="AI6" s="1301"/>
      <c r="AJ6" s="1301"/>
      <c r="AK6" s="1301"/>
      <c r="AL6" s="1301"/>
      <c r="AM6" s="1052"/>
      <c r="AO6" s="69"/>
      <c r="AP6" s="69" t="str">
        <f t="shared" si="0"/>
        <v/>
      </c>
      <c r="AQ6" s="69"/>
      <c r="AR6" s="69"/>
    </row>
    <row r="7" spans="1:44" ht="84" hidden="1" customHeight="1">
      <c r="A7" s="759"/>
      <c r="B7" s="759"/>
      <c r="C7" s="759"/>
      <c r="D7" s="759"/>
      <c r="E7" s="1266"/>
      <c r="F7" s="1266"/>
      <c r="G7" s="1266"/>
      <c r="H7" s="1266"/>
      <c r="I7" s="1286"/>
      <c r="J7" s="1263" t="e">
        <f>I6&amp;".1"</f>
        <v>#N/A</v>
      </c>
      <c r="K7" s="759"/>
      <c r="L7" s="760" t="s">
        <v>405</v>
      </c>
      <c r="M7" s="63"/>
      <c r="N7" s="63"/>
      <c r="P7" s="1264"/>
      <c r="Q7" s="1264">
        <v>1</v>
      </c>
      <c r="R7" s="68"/>
      <c r="S7" s="698" t="e">
        <f>$J7</f>
        <v>#N/A</v>
      </c>
      <c r="T7" s="163" t="s">
        <v>406</v>
      </c>
      <c r="U7" s="169"/>
      <c r="V7" s="1302"/>
      <c r="W7" s="1302"/>
      <c r="X7" s="1302"/>
      <c r="Y7" s="1302"/>
      <c r="Z7" s="1302"/>
      <c r="AA7" s="1302"/>
      <c r="AB7" s="1302"/>
      <c r="AC7" s="1302"/>
      <c r="AD7" s="1302"/>
      <c r="AE7" s="1302"/>
      <c r="AF7" s="1302"/>
      <c r="AG7" s="1302"/>
      <c r="AH7" s="1302"/>
      <c r="AI7" s="1302"/>
      <c r="AJ7" s="1302"/>
      <c r="AK7" s="1302"/>
      <c r="AL7" s="1302"/>
      <c r="AM7" s="1051" t="s">
        <v>407</v>
      </c>
      <c r="AO7" s="69"/>
      <c r="AP7" s="69" t="str">
        <f t="shared" si="0"/>
        <v>Группа потребителей</v>
      </c>
      <c r="AQ7" s="69"/>
      <c r="AR7" s="69"/>
    </row>
    <row r="8" spans="1:44" ht="11.25" hidden="1" customHeight="1">
      <c r="A8" s="759"/>
      <c r="B8" s="759"/>
      <c r="C8" s="759"/>
      <c r="D8" s="759"/>
      <c r="E8" s="1266"/>
      <c r="F8" s="1266"/>
      <c r="G8" s="1266"/>
      <c r="H8" s="1266"/>
      <c r="I8" s="1286"/>
      <c r="J8" s="1286"/>
      <c r="K8" s="1263" t="e">
        <f>J7&amp;".1"</f>
        <v>#N/A</v>
      </c>
      <c r="L8" s="760" t="s">
        <v>408</v>
      </c>
      <c r="M8" s="63"/>
      <c r="N8" s="63"/>
      <c r="O8" s="63"/>
      <c r="P8" s="1264"/>
      <c r="Q8" s="1264"/>
      <c r="R8" s="207">
        <v>1</v>
      </c>
      <c r="S8" s="1050" t="e">
        <f>$K8</f>
        <v>#N/A</v>
      </c>
      <c r="T8" s="1055"/>
      <c r="U8" s="1056"/>
      <c r="V8" s="1057"/>
      <c r="W8" s="757"/>
      <c r="X8" s="1057"/>
      <c r="Y8" s="1058"/>
      <c r="Z8" s="1303"/>
      <c r="AA8" s="1132" t="s">
        <v>62</v>
      </c>
      <c r="AB8" s="1303"/>
      <c r="AC8" s="1132" t="s">
        <v>62</v>
      </c>
      <c r="AD8" s="1057"/>
      <c r="AE8" s="757"/>
      <c r="AF8" s="1057"/>
      <c r="AG8" s="1058"/>
      <c r="AH8" s="1303"/>
      <c r="AI8" s="1132" t="s">
        <v>62</v>
      </c>
      <c r="AJ8" s="1303"/>
      <c r="AK8" s="1132" t="s">
        <v>62</v>
      </c>
      <c r="AL8" s="757"/>
      <c r="AM8" s="1260" t="s">
        <v>409</v>
      </c>
      <c r="AN8" s="68" t="e">
        <f ca="1">STRCHECKDATE(V9:AL9)</f>
        <v>#NAME?</v>
      </c>
      <c r="AO8" s="69"/>
      <c r="AP8" s="69" t="str">
        <f t="shared" si="0"/>
        <v/>
      </c>
      <c r="AQ8" s="69"/>
      <c r="AR8" s="69"/>
    </row>
    <row r="9" spans="1:44" ht="0.75" hidden="1" customHeight="1">
      <c r="A9" s="759"/>
      <c r="B9" s="759"/>
      <c r="C9" s="759"/>
      <c r="D9" s="759"/>
      <c r="E9" s="1266"/>
      <c r="F9" s="1266"/>
      <c r="G9" s="1266"/>
      <c r="H9" s="1266"/>
      <c r="I9" s="1286"/>
      <c r="J9" s="1286"/>
      <c r="K9" s="1263"/>
      <c r="L9" s="760"/>
      <c r="M9" s="63"/>
      <c r="N9" s="63"/>
      <c r="O9" s="63"/>
      <c r="P9" s="1264"/>
      <c r="Q9" s="1264"/>
      <c r="R9" s="207"/>
      <c r="S9" s="65"/>
      <c r="T9" s="169"/>
      <c r="U9" s="169"/>
      <c r="V9" s="189"/>
      <c r="W9" s="189"/>
      <c r="X9" s="189"/>
      <c r="Y9" s="190" t="str">
        <f>Z8&amp;"-"&amp;AB8</f>
        <v>-</v>
      </c>
      <c r="Z9" s="1269"/>
      <c r="AA9" s="1127"/>
      <c r="AB9" s="1269"/>
      <c r="AC9" s="1127"/>
      <c r="AD9" s="189"/>
      <c r="AE9" s="189"/>
      <c r="AF9" s="189"/>
      <c r="AG9" s="190" t="str">
        <f>AH8&amp;"-"&amp;AJ8</f>
        <v>-</v>
      </c>
      <c r="AH9" s="1269"/>
      <c r="AI9" s="1127"/>
      <c r="AJ9" s="1269"/>
      <c r="AK9" s="1127"/>
      <c r="AL9" s="189"/>
      <c r="AM9" s="1261"/>
      <c r="AO9" s="69"/>
      <c r="AP9" s="69" t="str">
        <f t="shared" si="0"/>
        <v/>
      </c>
      <c r="AQ9" s="69"/>
      <c r="AR9" s="69"/>
    </row>
    <row r="10" spans="1:44" ht="11.25" hidden="1" customHeight="1">
      <c r="A10" s="759"/>
      <c r="B10" s="759"/>
      <c r="C10" s="759"/>
      <c r="D10" s="759"/>
      <c r="E10" s="1266"/>
      <c r="F10" s="1266"/>
      <c r="G10" s="1266"/>
      <c r="H10" s="1266"/>
      <c r="I10" s="1286"/>
      <c r="J10" s="1263"/>
      <c r="K10" s="759"/>
      <c r="L10" s="760"/>
      <c r="M10" s="63"/>
      <c r="N10" s="63"/>
      <c r="P10" s="1264"/>
      <c r="Q10" s="1264"/>
      <c r="R10" s="206"/>
      <c r="S10" s="732"/>
      <c r="T10" s="164" t="s">
        <v>410</v>
      </c>
      <c r="U10" s="211"/>
      <c r="V10" s="211"/>
      <c r="W10" s="211"/>
      <c r="X10" s="211"/>
      <c r="Y10" s="211"/>
      <c r="Z10" s="211"/>
      <c r="AA10" s="211"/>
      <c r="AB10" s="211"/>
      <c r="AC10" s="211"/>
      <c r="AD10" s="211"/>
      <c r="AE10" s="211"/>
      <c r="AF10" s="211"/>
      <c r="AG10" s="211"/>
      <c r="AH10" s="211"/>
      <c r="AI10" s="211"/>
      <c r="AJ10" s="211"/>
      <c r="AK10" s="211"/>
      <c r="AL10" s="188"/>
      <c r="AM10" s="1262"/>
      <c r="AO10" s="69"/>
      <c r="AP10" s="69" t="str">
        <f t="shared" si="0"/>
        <v>Добавить вид теплоносителя (параметры теплоносителя)</v>
      </c>
      <c r="AQ10" s="69"/>
      <c r="AR10" s="69"/>
    </row>
    <row r="11" spans="1:44" ht="11.25" hidden="1" customHeight="1">
      <c r="A11" s="759"/>
      <c r="B11" s="759"/>
      <c r="C11" s="759"/>
      <c r="D11" s="759"/>
      <c r="E11" s="1266"/>
      <c r="F11" s="1266"/>
      <c r="G11" s="1266"/>
      <c r="H11" s="1266"/>
      <c r="I11" s="1263"/>
      <c r="J11" s="759"/>
      <c r="K11" s="759"/>
      <c r="L11" s="760"/>
      <c r="M11" s="63"/>
      <c r="P11" s="1264"/>
      <c r="Q11" s="120"/>
      <c r="R11" s="206"/>
      <c r="S11" s="732"/>
      <c r="T11" s="209" t="s">
        <v>411</v>
      </c>
      <c r="U11" s="211"/>
      <c r="V11" s="211"/>
      <c r="W11" s="211"/>
      <c r="X11" s="211"/>
      <c r="Y11" s="211"/>
      <c r="Z11" s="211"/>
      <c r="AA11" s="211"/>
      <c r="AB11" s="211"/>
      <c r="AC11" s="210"/>
      <c r="AD11" s="211"/>
      <c r="AE11" s="211"/>
      <c r="AF11" s="211"/>
      <c r="AG11" s="211"/>
      <c r="AH11" s="211"/>
      <c r="AI11" s="211"/>
      <c r="AJ11" s="211"/>
      <c r="AK11" s="210"/>
      <c r="AL11" s="211"/>
      <c r="AM11" s="172"/>
      <c r="AO11" s="69"/>
      <c r="AP11" s="69" t="str">
        <f t="shared" si="0"/>
        <v>Добавить группу потребителей</v>
      </c>
      <c r="AQ11" s="69"/>
      <c r="AR11" s="69"/>
    </row>
    <row r="12" spans="1:44" ht="0.75" hidden="1" customHeight="1">
      <c r="A12" s="759"/>
      <c r="B12" s="759"/>
      <c r="C12" s="759"/>
      <c r="D12" s="759"/>
      <c r="E12" s="1266"/>
      <c r="F12" s="1266"/>
      <c r="G12" s="1266"/>
      <c r="H12" s="1265"/>
      <c r="I12" s="759"/>
      <c r="J12" s="759"/>
      <c r="K12" s="759"/>
      <c r="L12" s="760"/>
      <c r="M12" s="417"/>
      <c r="N12" s="417"/>
      <c r="O12" s="63"/>
      <c r="P12" s="35"/>
      <c r="Q12" s="214"/>
      <c r="R12" s="205"/>
      <c r="S12" s="772"/>
      <c r="T12" s="773"/>
      <c r="U12" s="774"/>
      <c r="V12" s="774"/>
      <c r="W12" s="774"/>
      <c r="X12" s="774"/>
      <c r="Y12" s="774"/>
      <c r="Z12" s="774"/>
      <c r="AA12" s="774"/>
      <c r="AB12" s="774"/>
      <c r="AC12" s="774"/>
      <c r="AD12" s="774"/>
      <c r="AE12" s="774"/>
      <c r="AF12" s="774"/>
      <c r="AG12" s="774"/>
      <c r="AH12" s="774"/>
      <c r="AI12" s="774"/>
      <c r="AJ12" s="774"/>
      <c r="AK12" s="774"/>
      <c r="AL12" s="774"/>
      <c r="AM12" s="775"/>
      <c r="AO12" s="69"/>
      <c r="AP12" s="69" t="str">
        <f t="shared" si="0"/>
        <v/>
      </c>
      <c r="AQ12" s="69"/>
      <c r="AR12" s="69"/>
    </row>
    <row r="13" spans="1:44" s="68" customFormat="1" ht="0.75" hidden="1" customHeight="1">
      <c r="A13" s="143"/>
      <c r="B13" s="143"/>
      <c r="C13" s="143"/>
      <c r="D13" s="143"/>
      <c r="E13" s="1266"/>
      <c r="F13" s="1266"/>
      <c r="G13" s="1265"/>
      <c r="H13" s="143"/>
      <c r="I13" s="143"/>
      <c r="J13" s="143"/>
      <c r="K13" s="143"/>
      <c r="L13" s="338"/>
      <c r="M13" s="291"/>
      <c r="N13" s="291"/>
      <c r="P13" s="102"/>
      <c r="Q13" s="745"/>
      <c r="R13" s="102"/>
      <c r="S13" s="746"/>
      <c r="T13" s="747" t="s">
        <v>413</v>
      </c>
      <c r="U13" s="748"/>
      <c r="V13" s="748"/>
      <c r="W13" s="748"/>
      <c r="X13" s="748"/>
      <c r="Y13" s="748"/>
      <c r="Z13" s="748"/>
      <c r="AA13" s="748"/>
      <c r="AB13" s="748"/>
      <c r="AC13" s="748"/>
      <c r="AD13" s="748"/>
      <c r="AE13" s="748"/>
      <c r="AF13" s="748"/>
      <c r="AG13" s="748"/>
      <c r="AH13" s="748"/>
      <c r="AI13" s="748"/>
      <c r="AJ13" s="748"/>
      <c r="AK13" s="748"/>
      <c r="AL13" s="748"/>
      <c r="AM13" s="748"/>
      <c r="AO13" s="69"/>
      <c r="AP13" s="69" t="str">
        <f t="shared" si="0"/>
        <v>Добавить источник для дифференциации</v>
      </c>
      <c r="AQ13" s="69"/>
      <c r="AR13" s="69"/>
    </row>
    <row r="14" spans="1:44" s="68" customFormat="1" ht="0.75" hidden="1" customHeight="1">
      <c r="A14" s="143"/>
      <c r="B14" s="143"/>
      <c r="C14" s="143"/>
      <c r="D14" s="143"/>
      <c r="E14" s="1266"/>
      <c r="F14" s="1265"/>
      <c r="G14" s="143"/>
      <c r="H14" s="143"/>
      <c r="I14" s="143"/>
      <c r="J14" s="143"/>
      <c r="K14" s="143"/>
      <c r="L14" s="338"/>
      <c r="M14" s="749"/>
      <c r="N14" s="749"/>
      <c r="P14" s="102"/>
      <c r="Q14" s="745"/>
      <c r="R14" s="102"/>
      <c r="S14" s="750"/>
      <c r="T14" s="751" t="s">
        <v>414</v>
      </c>
      <c r="U14" s="311"/>
      <c r="V14" s="311"/>
      <c r="W14" s="311"/>
      <c r="X14" s="311"/>
      <c r="Y14" s="311"/>
      <c r="Z14" s="311"/>
      <c r="AA14" s="311"/>
      <c r="AB14" s="311"/>
      <c r="AC14" s="311"/>
      <c r="AD14" s="311"/>
      <c r="AE14" s="311"/>
      <c r="AF14" s="311"/>
      <c r="AG14" s="311"/>
      <c r="AH14" s="311"/>
      <c r="AI14" s="311"/>
      <c r="AJ14" s="311"/>
      <c r="AK14" s="311"/>
      <c r="AL14" s="311"/>
      <c r="AM14" s="311"/>
      <c r="AO14" s="69"/>
      <c r="AP14" s="69" t="str">
        <f t="shared" si="0"/>
        <v>Добавить централизованную систему для дифференциации</v>
      </c>
      <c r="AQ14" s="69"/>
      <c r="AR14" s="69"/>
    </row>
    <row r="15" spans="1:44" s="68" customFormat="1" ht="0.75" hidden="1" customHeight="1">
      <c r="A15" s="143"/>
      <c r="B15" s="143"/>
      <c r="C15" s="143"/>
      <c r="D15" s="143"/>
      <c r="E15" s="1265"/>
      <c r="F15" s="143"/>
      <c r="G15" s="143"/>
      <c r="H15" s="143"/>
      <c r="I15" s="143"/>
      <c r="J15" s="143"/>
      <c r="K15" s="143"/>
      <c r="L15" s="338"/>
      <c r="M15" s="749"/>
      <c r="N15" s="749"/>
      <c r="P15" s="102"/>
      <c r="Q15" s="745"/>
      <c r="R15" s="102"/>
      <c r="S15" s="750"/>
      <c r="T15" s="752" t="s">
        <v>415</v>
      </c>
      <c r="U15" s="311"/>
      <c r="V15" s="311"/>
      <c r="W15" s="311"/>
      <c r="X15" s="311"/>
      <c r="Y15" s="311"/>
      <c r="Z15" s="311"/>
      <c r="AA15" s="311"/>
      <c r="AB15" s="311"/>
      <c r="AC15" s="311"/>
      <c r="AD15" s="311"/>
      <c r="AE15" s="311"/>
      <c r="AF15" s="311"/>
      <c r="AG15" s="311"/>
      <c r="AH15" s="311"/>
      <c r="AI15" s="311"/>
      <c r="AJ15" s="311"/>
      <c r="AK15" s="311"/>
      <c r="AL15" s="311"/>
      <c r="AM15" s="311"/>
      <c r="AO15" s="69"/>
      <c r="AP15" s="69" t="str">
        <f t="shared" si="0"/>
        <v>Добавить территорию для дифференциации</v>
      </c>
      <c r="AQ15" s="69"/>
      <c r="AR15" s="69"/>
    </row>
    <row r="16" spans="1:44" ht="14.25" hidden="1" customHeight="1"/>
    <row r="17" spans="1:44" ht="14.25" hidden="1" customHeight="1">
      <c r="AD17" s="359"/>
      <c r="AE17" s="359"/>
      <c r="AF17" s="359"/>
      <c r="AG17" s="758"/>
      <c r="AH17" s="1270"/>
      <c r="AI17" s="1271" t="s">
        <v>62</v>
      </c>
      <c r="AJ17" s="1270"/>
      <c r="AK17" s="1271" t="s">
        <v>62</v>
      </c>
    </row>
    <row r="18" spans="1:44" ht="14.25" hidden="1" customHeight="1">
      <c r="AD18" s="359"/>
      <c r="AE18" s="359"/>
      <c r="AF18" s="359"/>
      <c r="AG18" s="190" t="str">
        <f>AH17&amp;"-"&amp;AJ17</f>
        <v>-</v>
      </c>
      <c r="AH18" s="1271"/>
      <c r="AI18" s="1271"/>
      <c r="AJ18" s="1271"/>
      <c r="AK18" s="1271"/>
    </row>
    <row r="19" spans="1:44" ht="14.25" hidden="1" customHeight="1"/>
    <row r="20" spans="1:44" s="63" customFormat="1" ht="22.5" hidden="1" customHeight="1">
      <c r="L20" s="299"/>
      <c r="M20" s="497"/>
      <c r="N20" s="497"/>
      <c r="O20" s="761" t="s">
        <v>416</v>
      </c>
      <c r="P20" s="497"/>
      <c r="Q20" s="762"/>
      <c r="R20" s="762"/>
      <c r="S20" s="417"/>
      <c r="Z20" s="761"/>
      <c r="AB20" s="761"/>
      <c r="AH20" s="761"/>
      <c r="AJ20" s="761"/>
      <c r="AN20" s="68"/>
      <c r="AO20" s="68"/>
      <c r="AP20" s="68"/>
      <c r="AQ20" s="68"/>
      <c r="AR20" s="68"/>
    </row>
    <row r="21" spans="1:44" s="63" customFormat="1" ht="14.25" hidden="1" customHeight="1">
      <c r="L21" s="299"/>
      <c r="M21" s="497"/>
      <c r="N21" s="497"/>
      <c r="O21" s="497"/>
      <c r="P21" s="497"/>
      <c r="Q21" s="762"/>
      <c r="R21" s="762"/>
      <c r="S21" s="417"/>
      <c r="AN21" s="68"/>
      <c r="AO21" s="68"/>
      <c r="AP21" s="68"/>
      <c r="AQ21" s="68"/>
      <c r="AR21" s="68"/>
    </row>
    <row r="22" spans="1:44" s="63" customFormat="1" ht="14.25" hidden="1" customHeight="1">
      <c r="L22" s="299"/>
      <c r="M22" s="497"/>
      <c r="N22" s="497"/>
      <c r="O22" s="760" t="s">
        <v>417</v>
      </c>
      <c r="P22" s="497"/>
      <c r="Q22" s="762"/>
      <c r="R22" s="762"/>
      <c r="S22" s="417"/>
      <c r="T22" s="63" t="s">
        <v>418</v>
      </c>
      <c r="AA22" s="81" t="s">
        <v>419</v>
      </c>
      <c r="AC22" s="81" t="s">
        <v>420</v>
      </c>
      <c r="AD22" s="63" t="s">
        <v>418</v>
      </c>
      <c r="AI22" s="81" t="s">
        <v>421</v>
      </c>
      <c r="AK22" s="81" t="s">
        <v>420</v>
      </c>
      <c r="AN22" s="68"/>
      <c r="AO22" s="68"/>
      <c r="AP22" s="68"/>
      <c r="AQ22" s="68"/>
      <c r="AR22" s="68"/>
    </row>
    <row r="23" spans="1:44" ht="14.25" hidden="1" customHeight="1">
      <c r="O23" s="760"/>
    </row>
    <row r="24" spans="1:44" ht="14.25" hidden="1" customHeight="1">
      <c r="O24" s="760"/>
    </row>
    <row r="25" spans="1:44" ht="14.25" customHeight="1">
      <c r="Q25" s="29"/>
      <c r="R25" s="29"/>
      <c r="S25" s="729"/>
      <c r="T25" s="11"/>
      <c r="U25" s="11"/>
    </row>
    <row r="26" spans="1:44" ht="51.75" customHeight="1">
      <c r="Q26" s="29"/>
      <c r="R26" s="29"/>
      <c r="S26" s="12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9"/>
      <c r="U26" s="1209"/>
      <c r="V26" s="1209"/>
      <c r="W26" s="1209"/>
      <c r="X26" s="1209"/>
      <c r="Y26" s="1209"/>
      <c r="Z26" s="1209"/>
      <c r="AA26" s="1209"/>
      <c r="AB26" s="1209"/>
      <c r="AC26" s="1209"/>
      <c r="AD26" s="1209"/>
      <c r="AE26" s="1209"/>
      <c r="AF26" s="1209"/>
      <c r="AG26" s="1209"/>
      <c r="AH26" s="1209"/>
      <c r="AI26" s="1209"/>
      <c r="AJ26" s="1209"/>
      <c r="AK26" s="60"/>
    </row>
    <row r="27" spans="1:44" ht="14.25" customHeight="1">
      <c r="Q27" s="29"/>
      <c r="R27" s="29"/>
      <c r="S27" s="1194" t="str">
        <f>IF(org=0,"Не определено",org)</f>
        <v>АО "ХТК"</v>
      </c>
      <c r="T27" s="1194"/>
      <c r="U27" s="1194"/>
      <c r="V27" s="1194"/>
      <c r="W27" s="1194"/>
      <c r="X27" s="1194"/>
      <c r="Y27" s="1194"/>
      <c r="Z27" s="1194"/>
      <c r="AA27" s="1194"/>
      <c r="AB27" s="1194"/>
      <c r="AC27" s="1194"/>
      <c r="AD27" s="1194"/>
      <c r="AE27" s="1194"/>
      <c r="AF27" s="1194"/>
      <c r="AG27" s="1194"/>
      <c r="AH27" s="1194"/>
      <c r="AI27" s="1194"/>
      <c r="AJ27" s="1194"/>
      <c r="AK27" s="60"/>
    </row>
    <row r="28" spans="1:44" ht="14.25" hidden="1" customHeight="1">
      <c r="Q28" s="29"/>
      <c r="R28" s="29"/>
      <c r="S28" s="729"/>
      <c r="T28" s="11"/>
      <c r="U28" s="11"/>
      <c r="V28" s="187"/>
      <c r="W28" s="187"/>
      <c r="X28" s="187"/>
      <c r="Y28" s="187"/>
      <c r="Z28" s="187"/>
      <c r="AA28" s="187"/>
      <c r="AB28" s="187"/>
      <c r="AC28" s="187"/>
      <c r="AD28" s="187"/>
      <c r="AE28" s="187"/>
      <c r="AF28" s="187"/>
      <c r="AG28" s="187"/>
      <c r="AH28" s="187"/>
      <c r="AI28" s="187"/>
      <c r="AJ28" s="187"/>
      <c r="AK28" s="187"/>
    </row>
    <row r="29" spans="1:44" s="36" customFormat="1" ht="25.5" hidden="1" customHeight="1">
      <c r="A29" s="81"/>
      <c r="B29" s="81"/>
      <c r="C29" s="81"/>
      <c r="D29" s="81"/>
      <c r="E29" s="81"/>
      <c r="F29" s="81"/>
      <c r="G29" s="81"/>
      <c r="H29" s="81"/>
      <c r="I29" s="81"/>
      <c r="J29" s="81"/>
      <c r="K29" s="81"/>
      <c r="L29" s="760"/>
      <c r="M29" s="81"/>
      <c r="N29" s="81"/>
      <c r="O29" s="81"/>
      <c r="S29" s="1257" t="s">
        <v>37</v>
      </c>
      <c r="T29" s="1257"/>
      <c r="U29" s="763"/>
      <c r="V29" s="1258" t="str">
        <f>IF(TITLE_NAME_OR_PR_CHANGE="",IF(TITLE_NAME_OR_PR="","",TITLE_NAME_OR_PR),TITLE_NAME_OR_PR_CHANGE)</f>
        <v/>
      </c>
      <c r="W29" s="1258"/>
      <c r="X29" s="1258"/>
      <c r="Y29" s="1258"/>
      <c r="Z29" s="1258"/>
      <c r="AA29" s="1258"/>
      <c r="AB29" s="1258"/>
      <c r="AC29" s="12"/>
      <c r="AD29" s="1258" t="str">
        <f>IF(TITLE_NAME_OR_PR_CHANGE="",IF(TITLE_NAME_OR_PR="","",TITLE_NAME_OR_PR),TITLE_NAME_OR_PR_CHANGE)</f>
        <v/>
      </c>
      <c r="AE29" s="1258"/>
      <c r="AF29" s="1258"/>
      <c r="AG29" s="1258"/>
      <c r="AH29" s="1258"/>
      <c r="AI29" s="1258"/>
      <c r="AJ29" s="1258"/>
      <c r="AK29" s="12"/>
      <c r="AL29" s="12"/>
      <c r="AM29" s="161"/>
      <c r="AN29" s="69"/>
      <c r="AO29" s="69"/>
      <c r="AP29" s="69"/>
      <c r="AQ29" s="69"/>
      <c r="AR29" s="69"/>
    </row>
    <row r="30" spans="1:44" s="36" customFormat="1" ht="18.75" hidden="1" customHeight="1">
      <c r="A30" s="81"/>
      <c r="B30" s="81"/>
      <c r="C30" s="81"/>
      <c r="D30" s="81"/>
      <c r="E30" s="81"/>
      <c r="F30" s="81"/>
      <c r="G30" s="81"/>
      <c r="H30" s="81"/>
      <c r="I30" s="81"/>
      <c r="J30" s="81"/>
      <c r="K30" s="81"/>
      <c r="L30" s="760"/>
      <c r="M30" s="81"/>
      <c r="N30" s="81"/>
      <c r="O30" s="81"/>
      <c r="S30" s="1257" t="s">
        <v>422</v>
      </c>
      <c r="T30" s="1257"/>
      <c r="U30" s="763"/>
      <c r="V30" s="1267" t="str">
        <f>IF(TITLE_DATE_PR_CHANGE="",IF(TITLE_DATE_PR="","",TITLE_DATE_PR),TITLE_DATE_PR_CHANGE)</f>
        <v/>
      </c>
      <c r="W30" s="1267"/>
      <c r="X30" s="1267"/>
      <c r="Y30" s="1267"/>
      <c r="Z30" s="1267"/>
      <c r="AA30" s="1267"/>
      <c r="AB30" s="1267"/>
      <c r="AC30" s="12"/>
      <c r="AD30" s="1267" t="str">
        <f>IF(TITLE_DATE_PR_CHANGE="",IF(TITLE_DATE_PR="","",TITLE_DATE_PR),TITLE_DATE_PR_CHANGE)</f>
        <v/>
      </c>
      <c r="AE30" s="1267"/>
      <c r="AF30" s="1267"/>
      <c r="AG30" s="1267"/>
      <c r="AH30" s="1267"/>
      <c r="AI30" s="1267"/>
      <c r="AJ30" s="1267"/>
      <c r="AK30" s="12"/>
      <c r="AL30" s="12"/>
      <c r="AM30" s="161"/>
      <c r="AN30" s="69"/>
      <c r="AO30" s="69"/>
      <c r="AP30" s="69"/>
      <c r="AQ30" s="69"/>
      <c r="AR30" s="69"/>
    </row>
    <row r="31" spans="1:44" s="36" customFormat="1" ht="18.75" hidden="1" customHeight="1">
      <c r="A31" s="81"/>
      <c r="B31" s="81"/>
      <c r="C31" s="81"/>
      <c r="D31" s="81"/>
      <c r="E31" s="81"/>
      <c r="F31" s="81"/>
      <c r="G31" s="81"/>
      <c r="H31" s="81"/>
      <c r="I31" s="81"/>
      <c r="J31" s="81"/>
      <c r="K31" s="81"/>
      <c r="L31" s="760"/>
      <c r="M31" s="81"/>
      <c r="N31" s="81"/>
      <c r="O31" s="81"/>
      <c r="S31" s="1257" t="s">
        <v>423</v>
      </c>
      <c r="T31" s="1257"/>
      <c r="U31" s="763"/>
      <c r="V31" s="1258" t="str">
        <f>IF(TITLE_NUMBER_PR_CHANGE="",IF(TITLE_NUMBER_PR="","",TITLE_NUMBER_PR),TITLE_NUMBER_PR_CHANGE)</f>
        <v/>
      </c>
      <c r="W31" s="1258"/>
      <c r="X31" s="1258"/>
      <c r="Y31" s="1258"/>
      <c r="Z31" s="1258"/>
      <c r="AA31" s="1258"/>
      <c r="AB31" s="1258"/>
      <c r="AC31" s="12"/>
      <c r="AD31" s="1258" t="str">
        <f>IF(TITLE_NUMBER_PR_CHANGE="",IF(TITLE_NUMBER_PR="","",TITLE_NUMBER_PR),TITLE_NUMBER_PR_CHANGE)</f>
        <v/>
      </c>
      <c r="AE31" s="1258"/>
      <c r="AF31" s="1258"/>
      <c r="AG31" s="1258"/>
      <c r="AH31" s="1258"/>
      <c r="AI31" s="1258"/>
      <c r="AJ31" s="1258"/>
      <c r="AK31" s="12"/>
      <c r="AL31" s="12"/>
      <c r="AM31" s="161"/>
      <c r="AN31" s="69"/>
      <c r="AO31" s="69"/>
      <c r="AP31" s="69"/>
      <c r="AQ31" s="69"/>
      <c r="AR31" s="69"/>
    </row>
    <row r="32" spans="1:44" s="36" customFormat="1" ht="18.75" hidden="1" customHeight="1">
      <c r="A32" s="81"/>
      <c r="B32" s="81"/>
      <c r="C32" s="81"/>
      <c r="D32" s="81"/>
      <c r="E32" s="81"/>
      <c r="F32" s="81"/>
      <c r="G32" s="81"/>
      <c r="H32" s="81"/>
      <c r="I32" s="81"/>
      <c r="J32" s="81"/>
      <c r="K32" s="81"/>
      <c r="L32" s="760"/>
      <c r="M32" s="81"/>
      <c r="N32" s="81"/>
      <c r="O32" s="81"/>
      <c r="S32" s="1257" t="s">
        <v>38</v>
      </c>
      <c r="T32" s="1257"/>
      <c r="U32" s="763"/>
      <c r="V32" s="1258" t="str">
        <f>IF(TITLE_IST_PUB_CHANGE="",IF(TITLE_IST_PUB="","",TITLE_IST_PUB),TITLE_IST_PUB_CHANGE)</f>
        <v/>
      </c>
      <c r="W32" s="1258"/>
      <c r="X32" s="1258"/>
      <c r="Y32" s="1258"/>
      <c r="Z32" s="1258"/>
      <c r="AA32" s="1258"/>
      <c r="AB32" s="1258"/>
      <c r="AC32" s="12"/>
      <c r="AD32" s="1258" t="str">
        <f>IF(TITLE_IST_PUB_CHANGE="",IF(TITLE_IST_PUB="","",TITLE_IST_PUB),TITLE_IST_PUB_CHANGE)</f>
        <v/>
      </c>
      <c r="AE32" s="1258"/>
      <c r="AF32" s="1258"/>
      <c r="AG32" s="1258"/>
      <c r="AH32" s="1258"/>
      <c r="AI32" s="1258"/>
      <c r="AJ32" s="1258"/>
      <c r="AK32" s="12"/>
      <c r="AL32" s="12"/>
      <c r="AM32" s="161"/>
      <c r="AN32" s="69"/>
      <c r="AO32" s="69"/>
      <c r="AP32" s="69"/>
      <c r="AQ32" s="69"/>
      <c r="AR32" s="69"/>
    </row>
    <row r="33" spans="1:44" ht="14.25" hidden="1" customHeight="1">
      <c r="Q33" s="29"/>
      <c r="R33" s="29"/>
      <c r="S33" s="729"/>
      <c r="T33" s="11"/>
      <c r="U33" s="11"/>
      <c r="V33" s="187"/>
      <c r="W33" s="187"/>
      <c r="X33" s="187"/>
      <c r="Y33" s="187"/>
      <c r="Z33" s="187"/>
      <c r="AA33" s="187"/>
      <c r="AB33" s="187"/>
      <c r="AC33" s="187"/>
      <c r="AD33" s="187"/>
      <c r="AE33" s="187"/>
      <c r="AF33" s="187"/>
      <c r="AG33" s="187"/>
      <c r="AH33" s="187"/>
      <c r="AI33" s="187"/>
      <c r="AJ33" s="187"/>
      <c r="AK33" s="187"/>
    </row>
    <row r="34" spans="1:44" s="36" customFormat="1" ht="18.75" hidden="1" customHeight="1">
      <c r="A34" s="81"/>
      <c r="B34" s="81"/>
      <c r="C34" s="81"/>
      <c r="D34" s="81"/>
      <c r="E34" s="81"/>
      <c r="F34" s="81"/>
      <c r="G34" s="81"/>
      <c r="H34" s="81"/>
      <c r="I34" s="81"/>
      <c r="J34" s="81"/>
      <c r="K34" s="81"/>
      <c r="L34" s="760"/>
      <c r="M34" s="81"/>
      <c r="N34" s="81"/>
      <c r="O34" s="81"/>
      <c r="S34" s="1257" t="s">
        <v>424</v>
      </c>
      <c r="T34" s="1257"/>
      <c r="U34" s="763"/>
      <c r="V34" s="1267" t="str">
        <f>IF(TITLE_DATE_PR_CHANGE="",IF(TITLE_DATE_PR="","",TITLE_DATE_PR),TITLE_DATE_PR_CHANGE)</f>
        <v/>
      </c>
      <c r="W34" s="1267"/>
      <c r="X34" s="1267"/>
      <c r="Y34" s="1267"/>
      <c r="Z34" s="1267"/>
      <c r="AA34" s="1267"/>
      <c r="AB34" s="1267"/>
      <c r="AC34" s="12"/>
      <c r="AD34" s="1267" t="str">
        <f>IF(TITLE_DATE_PR_CHANGE="",IF(TITLE_DATE_PR="","",TITLE_DATE_PR),TITLE_DATE_PR_CHANGE)</f>
        <v/>
      </c>
      <c r="AE34" s="1267"/>
      <c r="AF34" s="1267"/>
      <c r="AG34" s="1267"/>
      <c r="AH34" s="1267"/>
      <c r="AI34" s="1267"/>
      <c r="AJ34" s="1267"/>
      <c r="AK34" s="12"/>
      <c r="AL34" s="12"/>
      <c r="AM34" s="161"/>
      <c r="AN34" s="69"/>
      <c r="AO34" s="69"/>
      <c r="AP34" s="69"/>
      <c r="AQ34" s="69"/>
      <c r="AR34" s="69"/>
    </row>
    <row r="35" spans="1:44" s="36" customFormat="1" ht="18.75" hidden="1" customHeight="1">
      <c r="A35" s="81"/>
      <c r="B35" s="81"/>
      <c r="C35" s="81"/>
      <c r="D35" s="81"/>
      <c r="E35" s="81"/>
      <c r="F35" s="81"/>
      <c r="G35" s="81"/>
      <c r="H35" s="81"/>
      <c r="I35" s="81"/>
      <c r="J35" s="81"/>
      <c r="K35" s="81"/>
      <c r="L35" s="760"/>
      <c r="M35" s="81"/>
      <c r="N35" s="81"/>
      <c r="O35" s="81"/>
      <c r="S35" s="1257" t="s">
        <v>425</v>
      </c>
      <c r="T35" s="1257"/>
      <c r="U35" s="763"/>
      <c r="V35" s="1258" t="str">
        <f>IF(TITLE_NUMBER_PR_CHANGE="",IF(TITLE_NUMBER_PR="","",TITLE_NUMBER_PR),TITLE_NUMBER_PR_CHANGE)</f>
        <v/>
      </c>
      <c r="W35" s="1258"/>
      <c r="X35" s="1258"/>
      <c r="Y35" s="1258"/>
      <c r="Z35" s="1258"/>
      <c r="AA35" s="1258"/>
      <c r="AB35" s="1258"/>
      <c r="AC35" s="12"/>
      <c r="AD35" s="1258" t="str">
        <f>IF(TITLE_NUMBER_PR_CHANGE="",IF(TITLE_NUMBER_PR="","",TITLE_NUMBER_PR),TITLE_NUMBER_PR_CHANGE)</f>
        <v/>
      </c>
      <c r="AE35" s="1258"/>
      <c r="AF35" s="1258"/>
      <c r="AG35" s="1258"/>
      <c r="AH35" s="1258"/>
      <c r="AI35" s="1258"/>
      <c r="AJ35" s="1258"/>
      <c r="AK35" s="12"/>
      <c r="AL35" s="12"/>
      <c r="AM35" s="161"/>
      <c r="AN35" s="69"/>
      <c r="AO35" s="69"/>
      <c r="AP35" s="69"/>
      <c r="AQ35" s="69"/>
      <c r="AR35" s="69"/>
    </row>
    <row r="36" spans="1:44" s="36" customFormat="1" ht="0" hidden="1" customHeight="1">
      <c r="A36" s="81"/>
      <c r="B36" s="81"/>
      <c r="C36" s="81"/>
      <c r="D36" s="81"/>
      <c r="E36" s="81"/>
      <c r="F36" s="81"/>
      <c r="G36" s="81"/>
      <c r="H36" s="81"/>
      <c r="I36" s="81"/>
      <c r="J36" s="81"/>
      <c r="K36" s="81"/>
      <c r="L36" s="760"/>
      <c r="M36" s="81"/>
      <c r="N36" s="81"/>
      <c r="O36" s="81"/>
      <c r="S36" s="12"/>
      <c r="T36" s="12"/>
      <c r="U36" s="77"/>
      <c r="V36" s="12"/>
      <c r="W36" s="12"/>
      <c r="X36" s="12"/>
      <c r="Y36" s="12"/>
      <c r="Z36" s="12"/>
      <c r="AA36" s="12"/>
      <c r="AB36" s="12"/>
      <c r="AC36" s="68" t="s">
        <v>426</v>
      </c>
      <c r="AD36" s="12"/>
      <c r="AE36" s="12"/>
      <c r="AF36" s="12"/>
      <c r="AG36" s="12"/>
      <c r="AH36" s="12"/>
      <c r="AI36" s="12"/>
      <c r="AJ36" s="12"/>
      <c r="AK36" s="68" t="s">
        <v>426</v>
      </c>
      <c r="AN36" s="69"/>
      <c r="AO36" s="69"/>
      <c r="AP36" s="69"/>
      <c r="AQ36" s="69"/>
      <c r="AR36" s="69"/>
    </row>
    <row r="37" spans="1:44" ht="14.25" customHeight="1">
      <c r="Q37" s="29"/>
      <c r="R37" s="29"/>
      <c r="S37" s="729"/>
      <c r="T37" s="11"/>
      <c r="U37" s="709"/>
      <c r="V37" s="1259"/>
      <c r="W37" s="1259"/>
      <c r="X37" s="1259"/>
      <c r="Y37" s="1259"/>
      <c r="Z37" s="1259"/>
      <c r="AA37" s="1259"/>
      <c r="AB37" s="1259"/>
      <c r="AC37" s="1259"/>
      <c r="AD37" s="1259"/>
      <c r="AE37" s="1259"/>
      <c r="AF37" s="1259"/>
      <c r="AG37" s="1259"/>
      <c r="AH37" s="1259"/>
      <c r="AI37" s="1259"/>
      <c r="AJ37" s="1259"/>
      <c r="AK37" s="1259"/>
    </row>
    <row r="38" spans="1:44" ht="14.25" customHeight="1">
      <c r="Q38" s="29"/>
      <c r="R38" s="29"/>
      <c r="S38" s="1146" t="s">
        <v>299</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300</v>
      </c>
    </row>
    <row r="39" spans="1:44" ht="14.25" customHeight="1">
      <c r="Q39" s="29"/>
      <c r="R39" s="29"/>
      <c r="S39" s="1273" t="s">
        <v>84</v>
      </c>
      <c r="T39" s="1224" t="s">
        <v>427</v>
      </c>
      <c r="U39" s="170"/>
      <c r="V39" s="1274" t="s">
        <v>428</v>
      </c>
      <c r="W39" s="1275"/>
      <c r="X39" s="1275"/>
      <c r="Y39" s="1275"/>
      <c r="Z39" s="1275"/>
      <c r="AA39" s="1275"/>
      <c r="AB39" s="1276"/>
      <c r="AC39" s="1277" t="s">
        <v>429</v>
      </c>
      <c r="AD39" s="1274" t="s">
        <v>428</v>
      </c>
      <c r="AE39" s="1275"/>
      <c r="AF39" s="1275"/>
      <c r="AG39" s="1275"/>
      <c r="AH39" s="1275"/>
      <c r="AI39" s="1275"/>
      <c r="AJ39" s="1276"/>
      <c r="AK39" s="1277" t="s">
        <v>430</v>
      </c>
      <c r="AL39" s="1280" t="s">
        <v>431</v>
      </c>
      <c r="AM39" s="1146"/>
    </row>
    <row r="40" spans="1:44" ht="33.75" customHeight="1">
      <c r="Q40" s="29"/>
      <c r="R40" s="29"/>
      <c r="S40" s="1273"/>
      <c r="T40" s="1224"/>
      <c r="U40" s="595"/>
      <c r="V40" s="1193" t="s">
        <v>432</v>
      </c>
      <c r="W40" s="1283"/>
      <c r="X40" s="1117" t="s">
        <v>434</v>
      </c>
      <c r="Y40" s="1116"/>
      <c r="Z40" s="1117" t="s">
        <v>435</v>
      </c>
      <c r="AA40" s="1122"/>
      <c r="AB40" s="1116"/>
      <c r="AC40" s="1278"/>
      <c r="AD40" s="1193" t="s">
        <v>449</v>
      </c>
      <c r="AE40" s="1283"/>
      <c r="AF40" s="1117" t="s">
        <v>434</v>
      </c>
      <c r="AG40" s="1116"/>
      <c r="AH40" s="1117" t="s">
        <v>435</v>
      </c>
      <c r="AI40" s="1122"/>
      <c r="AJ40" s="1116"/>
      <c r="AK40" s="1278"/>
      <c r="AL40" s="1281"/>
      <c r="AM40" s="1146"/>
    </row>
    <row r="41" spans="1:44" ht="33.75" customHeight="1">
      <c r="A41" s="81"/>
      <c r="B41" s="81" t="s">
        <v>136</v>
      </c>
      <c r="C41" s="81" t="s">
        <v>137</v>
      </c>
      <c r="D41" s="81" t="s">
        <v>138</v>
      </c>
      <c r="E41" s="760" t="s">
        <v>436</v>
      </c>
      <c r="F41" s="760" t="s">
        <v>437</v>
      </c>
      <c r="G41" s="760" t="s">
        <v>438</v>
      </c>
      <c r="H41" s="760" t="s">
        <v>439</v>
      </c>
      <c r="I41" s="760" t="s">
        <v>440</v>
      </c>
      <c r="J41" s="760" t="s">
        <v>441</v>
      </c>
      <c r="K41" s="760" t="s">
        <v>442</v>
      </c>
      <c r="L41" s="760" t="s">
        <v>417</v>
      </c>
      <c r="Q41" s="29"/>
      <c r="R41" s="29"/>
      <c r="S41" s="1273"/>
      <c r="T41" s="1224"/>
      <c r="U41" s="171"/>
      <c r="V41" s="1244"/>
      <c r="W41" s="1284"/>
      <c r="X41" s="40" t="s">
        <v>443</v>
      </c>
      <c r="Y41" s="40" t="s">
        <v>444</v>
      </c>
      <c r="Z41" s="40" t="s">
        <v>445</v>
      </c>
      <c r="AA41" s="1233" t="s">
        <v>446</v>
      </c>
      <c r="AB41" s="1235"/>
      <c r="AC41" s="1279"/>
      <c r="AD41" s="1244"/>
      <c r="AE41" s="1284"/>
      <c r="AF41" s="40" t="s">
        <v>443</v>
      </c>
      <c r="AG41" s="40" t="s">
        <v>444</v>
      </c>
      <c r="AH41" s="40" t="s">
        <v>445</v>
      </c>
      <c r="AI41" s="1233" t="s">
        <v>446</v>
      </c>
      <c r="AJ41" s="1235"/>
      <c r="AK41" s="1279"/>
      <c r="AL41" s="1282"/>
      <c r="AM41" s="1146"/>
    </row>
    <row r="42" spans="1:44" s="201" customFormat="1" ht="11.25" hidden="1" customHeight="1">
      <c r="A42" s="81"/>
      <c r="B42" s="81"/>
      <c r="C42" s="81"/>
      <c r="D42" s="81"/>
      <c r="E42" s="81"/>
      <c r="F42" s="81"/>
      <c r="G42" s="81"/>
      <c r="H42" s="81"/>
      <c r="I42" s="81"/>
      <c r="J42" s="81"/>
      <c r="K42" s="81"/>
      <c r="L42" s="760"/>
      <c r="M42" s="497"/>
      <c r="N42" s="497"/>
      <c r="O42" s="497"/>
      <c r="P42" s="711"/>
      <c r="Q42" s="712"/>
      <c r="R42" s="714">
        <v>1</v>
      </c>
      <c r="S42" s="731" t="s">
        <v>105</v>
      </c>
      <c r="T42" s="715" t="s">
        <v>106</v>
      </c>
      <c r="U42" s="710" t="str">
        <f ca="1">OFFSET(U42,0,-1)</f>
        <v>2</v>
      </c>
      <c r="V42" s="716">
        <f ca="1">OFFSET(V42,0,-1)+1</f>
        <v>3</v>
      </c>
      <c r="W42" s="716"/>
      <c r="X42" s="716">
        <f ca="1">OFFSET(X42,0,-1)+1</f>
        <v>1</v>
      </c>
      <c r="Y42" s="716">
        <f ca="1">OFFSET(Y42,0,-1)+1</f>
        <v>2</v>
      </c>
      <c r="Z42" s="716">
        <f ca="1">OFFSET(Z42,0,-1)+1</f>
        <v>3</v>
      </c>
      <c r="AA42" s="1272">
        <f ca="1">OFFSET(AA42,0,-1)+1</f>
        <v>4</v>
      </c>
      <c r="AB42" s="1272"/>
      <c r="AC42" s="716">
        <f ca="1">OFFSET(AC42,0,-2)+1</f>
        <v>5</v>
      </c>
      <c r="AD42" s="716">
        <f ca="1">OFFSET(AD42,0,-1)+1</f>
        <v>6</v>
      </c>
      <c r="AE42" s="716"/>
      <c r="AF42" s="716">
        <f ca="1">OFFSET(AF42,0,-1)+1</f>
        <v>1</v>
      </c>
      <c r="AG42" s="716">
        <f ca="1">OFFSET(AG42,0,-1)+1</f>
        <v>2</v>
      </c>
      <c r="AH42" s="716">
        <f ca="1">OFFSET(AH42,0,-1)+1</f>
        <v>3</v>
      </c>
      <c r="AI42" s="1272">
        <f ca="1">OFFSET(AI42,0,-1)+1</f>
        <v>4</v>
      </c>
      <c r="AJ42" s="1272"/>
      <c r="AK42" s="716">
        <f ca="1">OFFSET(AK42,0,-2)+1</f>
        <v>5</v>
      </c>
      <c r="AL42" s="710">
        <f ca="1">OFFSET(AL42,0,-1)</f>
        <v>5</v>
      </c>
      <c r="AM42" s="716">
        <f ca="1">OFFSET(AM42,0,-1)+1</f>
        <v>6</v>
      </c>
      <c r="AN42" s="68"/>
      <c r="AO42" s="68"/>
      <c r="AP42" s="68"/>
      <c r="AQ42" s="68"/>
      <c r="AR42" s="68"/>
    </row>
    <row r="43" spans="1:44" ht="21" customHeight="1">
      <c r="A43" s="759" t="s">
        <v>181</v>
      </c>
      <c r="B43" s="759"/>
      <c r="C43" s="759"/>
      <c r="D43" s="759"/>
      <c r="E43" s="1265">
        <v>1</v>
      </c>
      <c r="F43" s="759"/>
      <c r="G43" s="759"/>
      <c r="H43" s="759"/>
      <c r="I43" s="759"/>
      <c r="J43" s="759"/>
      <c r="K43" s="759"/>
      <c r="L43" s="760"/>
      <c r="M43" s="417"/>
      <c r="N43" s="417"/>
      <c r="O43" s="417"/>
      <c r="Q43" s="35"/>
      <c r="R43" s="205"/>
      <c r="S43" s="698">
        <f>INDEX(PT_DIFFERENTIATION_NUM_NTAR,MATCH(A43,PT_DIFFERENTIATION_NTAR_ID,0))</f>
        <v>0</v>
      </c>
      <c r="T43" s="67" t="s">
        <v>124</v>
      </c>
      <c r="U43" s="169"/>
      <c r="V43" s="1251"/>
      <c r="W43" s="1252"/>
      <c r="X43" s="1252"/>
      <c r="Y43" s="1252"/>
      <c r="Z43" s="1252"/>
      <c r="AA43" s="1252"/>
      <c r="AB43" s="1252"/>
      <c r="AC43" s="1253"/>
      <c r="AD43" s="1251" t="str">
        <f>INDEX(PT_DIFFERENTIATION_NTAR,MATCH(A43,PT_DIFFERENTIATION_NTAR_ID,0))</f>
        <v/>
      </c>
      <c r="AE43" s="1252"/>
      <c r="AF43" s="1252"/>
      <c r="AG43" s="1252"/>
      <c r="AH43" s="1252"/>
      <c r="AI43" s="1252"/>
      <c r="AJ43" s="1252"/>
      <c r="AK43" s="1252"/>
      <c r="AL43" s="1253"/>
      <c r="AM43" s="71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row>
    <row r="44" spans="1:44" ht="21" customHeight="1">
      <c r="A44" s="759" t="s">
        <v>181</v>
      </c>
      <c r="B44" s="759" t="s">
        <v>182</v>
      </c>
      <c r="C44" s="759"/>
      <c r="D44" s="759"/>
      <c r="E44" s="1266"/>
      <c r="F44" s="1265">
        <v>1</v>
      </c>
      <c r="G44" s="759"/>
      <c r="H44" s="759"/>
      <c r="I44" s="759"/>
      <c r="J44" s="759"/>
      <c r="K44" s="759"/>
      <c r="L44" s="760"/>
      <c r="M44" s="417"/>
      <c r="N44" s="417"/>
      <c r="O44" s="417"/>
      <c r="P44" s="59"/>
      <c r="Q44" s="202"/>
      <c r="R44" s="203"/>
      <c r="S44" s="698" t="str">
        <f>INDEX(PT_DIFFERENTIATION_NUM_TER,MATCH(B44,PT_DIFFERENTIATION_TER_ID,0))</f>
        <v>.</v>
      </c>
      <c r="T44" s="175" t="s">
        <v>396</v>
      </c>
      <c r="U44" s="169"/>
      <c r="V44" s="1251"/>
      <c r="W44" s="1252"/>
      <c r="X44" s="1252"/>
      <c r="Y44" s="1252"/>
      <c r="Z44" s="1252"/>
      <c r="AA44" s="1252"/>
      <c r="AB44" s="1252"/>
      <c r="AC44" s="1253"/>
      <c r="AD44" s="1251" t="str">
        <f>INDEX(PT_DIFFERENTIATION_TER,MATCH(B44,PT_DIFFERENTIATION_TER_ID,0))</f>
        <v/>
      </c>
      <c r="AE44" s="1252"/>
      <c r="AF44" s="1252"/>
      <c r="AG44" s="1252"/>
      <c r="AH44" s="1252"/>
      <c r="AI44" s="1252"/>
      <c r="AJ44" s="1252"/>
      <c r="AK44" s="1252"/>
      <c r="AL44" s="1253"/>
      <c r="AM44" s="718" t="s">
        <v>397</v>
      </c>
      <c r="AO44" s="69"/>
      <c r="AP44" s="69" t="str">
        <f t="shared" si="1"/>
        <v>Территория действия тарифа</v>
      </c>
      <c r="AQ44" s="69"/>
      <c r="AR44" s="69"/>
    </row>
    <row r="45" spans="1:44" ht="23.25" customHeight="1">
      <c r="A45" s="759" t="s">
        <v>181</v>
      </c>
      <c r="B45" s="759" t="s">
        <v>182</v>
      </c>
      <c r="C45" s="759" t="s">
        <v>183</v>
      </c>
      <c r="D45" s="759"/>
      <c r="E45" s="1266"/>
      <c r="F45" s="1266"/>
      <c r="G45" s="1265">
        <v>1</v>
      </c>
      <c r="H45" s="759"/>
      <c r="I45" s="759"/>
      <c r="J45" s="759"/>
      <c r="K45" s="759"/>
      <c r="L45" s="760"/>
      <c r="M45" s="417"/>
      <c r="N45" s="417"/>
      <c r="O45" s="417"/>
      <c r="P45" s="204"/>
      <c r="Q45" s="202"/>
      <c r="R45" s="203"/>
      <c r="S45" s="698" t="str">
        <f>INDEX(PT_DIFFERENTIATION_NUM_CS,MATCH(C45,PT_DIFFERENTIATION_CS_ID,0))</f>
        <v>..</v>
      </c>
      <c r="T45" s="176" t="s">
        <v>398</v>
      </c>
      <c r="U45" s="169"/>
      <c r="V45" s="1251"/>
      <c r="W45" s="1252"/>
      <c r="X45" s="1252"/>
      <c r="Y45" s="1252"/>
      <c r="Z45" s="1252"/>
      <c r="AA45" s="1252"/>
      <c r="AB45" s="1252"/>
      <c r="AC45" s="1253"/>
      <c r="AD45" s="1251" t="str">
        <f>INDEX(PT_DIFFERENTIATION_CS,MATCH(C45,PT_DIFFERENTIATION_CS_ID,0))</f>
        <v/>
      </c>
      <c r="AE45" s="1252"/>
      <c r="AF45" s="1252"/>
      <c r="AG45" s="1252"/>
      <c r="AH45" s="1252"/>
      <c r="AI45" s="1252"/>
      <c r="AJ45" s="1252"/>
      <c r="AK45" s="1252"/>
      <c r="AL45" s="1253"/>
      <c r="AM45" s="718" t="s">
        <v>399</v>
      </c>
      <c r="AO45" s="69"/>
      <c r="AP45" s="69" t="str">
        <f t="shared" si="1"/>
        <v xml:space="preserve">Наименование системы теплоснабжения </v>
      </c>
      <c r="AQ45" s="69"/>
      <c r="AR45" s="69"/>
    </row>
    <row r="46" spans="1:44" ht="21" customHeight="1">
      <c r="A46" s="759" t="s">
        <v>181</v>
      </c>
      <c r="B46" s="759" t="s">
        <v>182</v>
      </c>
      <c r="C46" s="759" t="s">
        <v>183</v>
      </c>
      <c r="D46" s="759" t="s">
        <v>184</v>
      </c>
      <c r="E46" s="1266"/>
      <c r="F46" s="1266"/>
      <c r="G46" s="1266"/>
      <c r="H46" s="1265">
        <v>1</v>
      </c>
      <c r="I46" s="759"/>
      <c r="J46" s="759"/>
      <c r="K46" s="759"/>
      <c r="L46" s="760"/>
      <c r="M46" s="417"/>
      <c r="N46" s="417"/>
      <c r="O46" s="417"/>
      <c r="P46" s="204"/>
      <c r="Q46" s="202"/>
      <c r="R46" s="203"/>
      <c r="S46" s="698" t="str">
        <f>INDEX(PT_DIFFERENTIATION_NUM_IST_TE,MATCH(D46,PT_DIFFERENTIATION_IST_TE_ID,0))</f>
        <v>...</v>
      </c>
      <c r="T46" s="177" t="s">
        <v>400</v>
      </c>
      <c r="U46" s="169"/>
      <c r="V46" s="1251"/>
      <c r="W46" s="1252"/>
      <c r="X46" s="1252"/>
      <c r="Y46" s="1252"/>
      <c r="Z46" s="1252"/>
      <c r="AA46" s="1252"/>
      <c r="AB46" s="1252"/>
      <c r="AC46" s="1253"/>
      <c r="AD46" s="1251" t="str">
        <f>INDEX(PT_DIFFERENTIATION_IST_TE,MATCH(D46,PT_DIFFERENTIATION_IST_TE_ID,0))</f>
        <v/>
      </c>
      <c r="AE46" s="1252"/>
      <c r="AF46" s="1252"/>
      <c r="AG46" s="1252"/>
      <c r="AH46" s="1252"/>
      <c r="AI46" s="1252"/>
      <c r="AJ46" s="1252"/>
      <c r="AK46" s="1252"/>
      <c r="AL46" s="1253"/>
      <c r="AM46" s="718" t="s">
        <v>401</v>
      </c>
      <c r="AO46" s="69"/>
      <c r="AP46" s="69" t="str">
        <f t="shared" si="1"/>
        <v xml:space="preserve">Источник тепловой энергии  </v>
      </c>
      <c r="AQ46" s="69"/>
      <c r="AR46" s="69"/>
    </row>
    <row r="47" spans="1:44" s="68" customFormat="1" ht="0" hidden="1" customHeight="1">
      <c r="A47" s="143" t="s">
        <v>181</v>
      </c>
      <c r="B47" s="143" t="s">
        <v>182</v>
      </c>
      <c r="C47" s="143" t="s">
        <v>183</v>
      </c>
      <c r="D47" s="143" t="s">
        <v>184</v>
      </c>
      <c r="E47" s="1266"/>
      <c r="F47" s="1266"/>
      <c r="G47" s="1266"/>
      <c r="H47" s="1266"/>
      <c r="I47" s="1263" t="str">
        <f>S46&amp;".1"</f>
        <v>....1</v>
      </c>
      <c r="J47" s="143"/>
      <c r="K47" s="143"/>
      <c r="L47" s="338" t="s">
        <v>402</v>
      </c>
      <c r="M47" s="288"/>
      <c r="N47" s="288"/>
      <c r="O47" s="288"/>
      <c r="P47" s="1264">
        <v>1</v>
      </c>
      <c r="Q47" s="120"/>
      <c r="R47" s="206"/>
      <c r="S47" s="353"/>
      <c r="T47" s="769"/>
      <c r="U47" s="770"/>
      <c r="V47" s="1294"/>
      <c r="W47" s="1295"/>
      <c r="X47" s="1295"/>
      <c r="Y47" s="1295"/>
      <c r="Z47" s="1295"/>
      <c r="AA47" s="1295"/>
      <c r="AB47" s="1295"/>
      <c r="AC47" s="1296"/>
      <c r="AD47" s="1294"/>
      <c r="AE47" s="1295"/>
      <c r="AF47" s="1295"/>
      <c r="AG47" s="1295"/>
      <c r="AH47" s="1295"/>
      <c r="AI47" s="1295"/>
      <c r="AJ47" s="1295"/>
      <c r="AK47" s="1295"/>
      <c r="AL47" s="1296"/>
      <c r="AM47" s="771"/>
      <c r="AO47" s="69"/>
      <c r="AP47" s="69" t="str">
        <f t="shared" si="1"/>
        <v/>
      </c>
      <c r="AQ47" s="69"/>
      <c r="AR47" s="69"/>
    </row>
    <row r="48" spans="1:44" ht="21" customHeight="1">
      <c r="A48" s="759" t="s">
        <v>181</v>
      </c>
      <c r="B48" s="759" t="s">
        <v>182</v>
      </c>
      <c r="C48" s="759" t="s">
        <v>183</v>
      </c>
      <c r="D48" s="759" t="s">
        <v>184</v>
      </c>
      <c r="E48" s="1266"/>
      <c r="F48" s="1266"/>
      <c r="G48" s="1266"/>
      <c r="H48" s="1266"/>
      <c r="I48" s="1286"/>
      <c r="J48" s="1263" t="str">
        <f>S46&amp;".1"</f>
        <v>....1</v>
      </c>
      <c r="K48" s="759"/>
      <c r="L48" s="760" t="s">
        <v>405</v>
      </c>
      <c r="P48" s="1264"/>
      <c r="Q48" s="1264">
        <v>1</v>
      </c>
      <c r="R48" s="207"/>
      <c r="S48" s="698" t="str">
        <f>$J48</f>
        <v>....1</v>
      </c>
      <c r="T48" s="163" t="s">
        <v>406</v>
      </c>
      <c r="U48" s="169"/>
      <c r="V48" s="1254"/>
      <c r="W48" s="1255"/>
      <c r="X48" s="1255"/>
      <c r="Y48" s="1255"/>
      <c r="Z48" s="1255"/>
      <c r="AA48" s="1255"/>
      <c r="AB48" s="1255"/>
      <c r="AC48" s="1256"/>
      <c r="AD48" s="1254"/>
      <c r="AE48" s="1255"/>
      <c r="AF48" s="1255"/>
      <c r="AG48" s="1255"/>
      <c r="AH48" s="1255"/>
      <c r="AI48" s="1255"/>
      <c r="AJ48" s="1255"/>
      <c r="AK48" s="1255"/>
      <c r="AL48" s="1256"/>
      <c r="AM48" s="718" t="s">
        <v>407</v>
      </c>
      <c r="AO48" s="69"/>
      <c r="AP48" s="69" t="str">
        <f t="shared" si="1"/>
        <v>Группа потребителей</v>
      </c>
      <c r="AQ48" s="69"/>
      <c r="AR48" s="69"/>
    </row>
    <row r="49" spans="1:44" ht="21" customHeight="1">
      <c r="A49" s="759" t="s">
        <v>181</v>
      </c>
      <c r="B49" s="759" t="s">
        <v>182</v>
      </c>
      <c r="C49" s="759" t="s">
        <v>183</v>
      </c>
      <c r="D49" s="759" t="s">
        <v>184</v>
      </c>
      <c r="E49" s="1266"/>
      <c r="F49" s="1266"/>
      <c r="G49" s="1266"/>
      <c r="H49" s="1266"/>
      <c r="I49" s="1286"/>
      <c r="J49" s="1286"/>
      <c r="K49" s="1263" t="str">
        <f>J48&amp;".1"</f>
        <v>....1.1</v>
      </c>
      <c r="L49" s="760" t="s">
        <v>408</v>
      </c>
      <c r="P49" s="1264"/>
      <c r="Q49" s="1264"/>
      <c r="R49" s="207">
        <v>1</v>
      </c>
      <c r="S49" s="698" t="str">
        <f>$K49</f>
        <v>....1.1</v>
      </c>
      <c r="T49" s="755"/>
      <c r="U49" s="169"/>
      <c r="V49" s="304"/>
      <c r="W49" s="189"/>
      <c r="X49" s="304"/>
      <c r="Y49" s="717"/>
      <c r="Z49" s="1268"/>
      <c r="AA49" s="1127" t="s">
        <v>62</v>
      </c>
      <c r="AB49" s="1268"/>
      <c r="AC49" s="1127" t="s">
        <v>62</v>
      </c>
      <c r="AD49" s="304"/>
      <c r="AE49" s="189"/>
      <c r="AF49" s="304"/>
      <c r="AG49" s="717"/>
      <c r="AH49" s="1268"/>
      <c r="AI49" s="1127" t="s">
        <v>62</v>
      </c>
      <c r="AJ49" s="1287"/>
      <c r="AK49" s="1127" t="s">
        <v>62</v>
      </c>
      <c r="AL49" s="756"/>
      <c r="AM49" s="1260" t="s">
        <v>450</v>
      </c>
      <c r="AN49" s="68" t="e">
        <f ca="1">STRCHECKDATE(V50:AL50)</f>
        <v>#NAME?</v>
      </c>
      <c r="AO49" s="69"/>
      <c r="AP49" s="69" t="str">
        <f t="shared" si="1"/>
        <v/>
      </c>
      <c r="AQ49" s="69"/>
      <c r="AR49" s="69"/>
    </row>
    <row r="50" spans="1:44" ht="0.75" customHeight="1">
      <c r="A50" s="759" t="s">
        <v>181</v>
      </c>
      <c r="B50" s="759" t="s">
        <v>182</v>
      </c>
      <c r="C50" s="759" t="s">
        <v>183</v>
      </c>
      <c r="D50" s="759" t="s">
        <v>184</v>
      </c>
      <c r="E50" s="1266"/>
      <c r="F50" s="1266"/>
      <c r="G50" s="1266"/>
      <c r="H50" s="1266"/>
      <c r="I50" s="1286"/>
      <c r="J50" s="1286"/>
      <c r="K50" s="1263"/>
      <c r="L50" s="760"/>
      <c r="P50" s="1264"/>
      <c r="Q50" s="1264"/>
      <c r="R50" s="207"/>
      <c r="S50" s="65"/>
      <c r="T50" s="169"/>
      <c r="U50" s="169"/>
      <c r="V50" s="189"/>
      <c r="W50" s="189"/>
      <c r="X50" s="189"/>
      <c r="Y50" s="190" t="str">
        <f>Z49&amp;"-"&amp;AB49</f>
        <v>-</v>
      </c>
      <c r="Z50" s="1269"/>
      <c r="AA50" s="1127"/>
      <c r="AB50" s="1269"/>
      <c r="AC50" s="1127"/>
      <c r="AD50" s="189"/>
      <c r="AE50" s="189"/>
      <c r="AF50" s="189"/>
      <c r="AG50" s="190" t="str">
        <f>AH49&amp;"-"&amp;AJ49</f>
        <v>-</v>
      </c>
      <c r="AH50" s="1269"/>
      <c r="AI50" s="1127"/>
      <c r="AJ50" s="1288"/>
      <c r="AK50" s="1127"/>
      <c r="AL50" s="757"/>
      <c r="AM50" s="1261"/>
      <c r="AO50" s="69"/>
      <c r="AP50" s="69" t="str">
        <f t="shared" si="1"/>
        <v/>
      </c>
      <c r="AQ50" s="69"/>
      <c r="AR50" s="69"/>
    </row>
    <row r="51" spans="1:44" ht="11.25" customHeight="1">
      <c r="A51" s="759" t="s">
        <v>181</v>
      </c>
      <c r="B51" s="759" t="s">
        <v>182</v>
      </c>
      <c r="C51" s="759" t="s">
        <v>183</v>
      </c>
      <c r="D51" s="759" t="s">
        <v>184</v>
      </c>
      <c r="E51" s="1266"/>
      <c r="F51" s="1266"/>
      <c r="G51" s="1266"/>
      <c r="H51" s="1266"/>
      <c r="I51" s="1286"/>
      <c r="J51" s="1263"/>
      <c r="K51" s="759"/>
      <c r="L51" s="760"/>
      <c r="P51" s="1264"/>
      <c r="Q51" s="1264"/>
      <c r="R51" s="206"/>
      <c r="S51" s="732"/>
      <c r="T51" s="164" t="s">
        <v>410</v>
      </c>
      <c r="U51" s="211"/>
      <c r="V51" s="211"/>
      <c r="W51" s="211"/>
      <c r="X51" s="211"/>
      <c r="Y51" s="211"/>
      <c r="Z51" s="211"/>
      <c r="AA51" s="211"/>
      <c r="AB51" s="211"/>
      <c r="AC51" s="211"/>
      <c r="AD51" s="211"/>
      <c r="AE51" s="211"/>
      <c r="AF51" s="211"/>
      <c r="AG51" s="211"/>
      <c r="AH51" s="211"/>
      <c r="AI51" s="211"/>
      <c r="AJ51" s="211"/>
      <c r="AK51" s="211"/>
      <c r="AL51" s="188"/>
      <c r="AM51" s="1262"/>
      <c r="AO51" s="69"/>
      <c r="AP51" s="69" t="str">
        <f t="shared" si="1"/>
        <v>Добавить вид теплоносителя (параметры теплоносителя)</v>
      </c>
      <c r="AQ51" s="69"/>
      <c r="AR51" s="69"/>
    </row>
    <row r="52" spans="1:44" ht="11.25" customHeight="1">
      <c r="A52" s="759" t="s">
        <v>181</v>
      </c>
      <c r="B52" s="759" t="s">
        <v>182</v>
      </c>
      <c r="C52" s="759" t="s">
        <v>183</v>
      </c>
      <c r="D52" s="759" t="s">
        <v>184</v>
      </c>
      <c r="E52" s="1266"/>
      <c r="F52" s="1266"/>
      <c r="G52" s="1266"/>
      <c r="H52" s="1266"/>
      <c r="I52" s="1263"/>
      <c r="J52" s="759"/>
      <c r="K52" s="759"/>
      <c r="L52" s="760"/>
      <c r="P52" s="1264"/>
      <c r="Q52" s="120"/>
      <c r="R52" s="206"/>
      <c r="S52" s="732"/>
      <c r="T52" s="209" t="s">
        <v>411</v>
      </c>
      <c r="U52" s="211"/>
      <c r="V52" s="211"/>
      <c r="W52" s="211"/>
      <c r="X52" s="211"/>
      <c r="Y52" s="211"/>
      <c r="Z52" s="211"/>
      <c r="AA52" s="211"/>
      <c r="AB52" s="211"/>
      <c r="AC52" s="210"/>
      <c r="AD52" s="211"/>
      <c r="AE52" s="211"/>
      <c r="AF52" s="211"/>
      <c r="AG52" s="211"/>
      <c r="AH52" s="211"/>
      <c r="AI52" s="211"/>
      <c r="AJ52" s="211"/>
      <c r="AK52" s="210"/>
      <c r="AL52" s="211"/>
      <c r="AM52" s="172"/>
      <c r="AO52" s="69"/>
      <c r="AP52" s="69" t="str">
        <f t="shared" si="1"/>
        <v>Добавить группу потребителей</v>
      </c>
      <c r="AQ52" s="69"/>
      <c r="AR52" s="69"/>
    </row>
    <row r="53" spans="1:44" ht="0" hidden="1" customHeight="1">
      <c r="A53" s="759" t="s">
        <v>181</v>
      </c>
      <c r="B53" s="759" t="s">
        <v>182</v>
      </c>
      <c r="C53" s="759" t="s">
        <v>183</v>
      </c>
      <c r="D53" s="759" t="s">
        <v>184</v>
      </c>
      <c r="E53" s="1266"/>
      <c r="F53" s="1266"/>
      <c r="G53" s="1266"/>
      <c r="H53" s="1265"/>
      <c r="I53" s="759"/>
      <c r="J53" s="759"/>
      <c r="K53" s="759"/>
      <c r="L53" s="760"/>
      <c r="M53" s="417"/>
      <c r="N53" s="417"/>
      <c r="O53" s="63"/>
      <c r="P53" s="35"/>
      <c r="Q53" s="214"/>
      <c r="R53" s="205"/>
      <c r="S53" s="772"/>
      <c r="T53" s="773"/>
      <c r="U53" s="774"/>
      <c r="V53" s="774"/>
      <c r="W53" s="774"/>
      <c r="X53" s="774"/>
      <c r="Y53" s="774"/>
      <c r="Z53" s="774"/>
      <c r="AA53" s="774"/>
      <c r="AB53" s="774"/>
      <c r="AC53" s="774"/>
      <c r="AD53" s="774"/>
      <c r="AE53" s="774"/>
      <c r="AF53" s="774"/>
      <c r="AG53" s="774"/>
      <c r="AH53" s="774"/>
      <c r="AI53" s="774"/>
      <c r="AJ53" s="774"/>
      <c r="AK53" s="774"/>
      <c r="AL53" s="774"/>
      <c r="AM53" s="775"/>
      <c r="AO53" s="69"/>
      <c r="AP53" s="69" t="str">
        <f t="shared" si="1"/>
        <v/>
      </c>
      <c r="AQ53" s="69"/>
      <c r="AR53" s="69"/>
    </row>
    <row r="54" spans="1:44" s="68" customFormat="1" ht="0.75" customHeight="1">
      <c r="A54" s="143" t="s">
        <v>181</v>
      </c>
      <c r="B54" s="143" t="s">
        <v>182</v>
      </c>
      <c r="C54" s="143" t="s">
        <v>183</v>
      </c>
      <c r="D54" s="143"/>
      <c r="E54" s="1266"/>
      <c r="F54" s="1266"/>
      <c r="G54" s="1265"/>
      <c r="H54" s="143"/>
      <c r="I54" s="143"/>
      <c r="J54" s="143"/>
      <c r="K54" s="143"/>
      <c r="L54" s="338"/>
      <c r="M54" s="291"/>
      <c r="N54" s="291"/>
      <c r="P54" s="102"/>
      <c r="Q54" s="745"/>
      <c r="R54" s="102"/>
      <c r="S54" s="750"/>
      <c r="T54" s="752" t="s">
        <v>413</v>
      </c>
      <c r="U54" s="311"/>
      <c r="V54" s="311"/>
      <c r="W54" s="311"/>
      <c r="X54" s="311"/>
      <c r="Y54" s="311"/>
      <c r="Z54" s="311"/>
      <c r="AA54" s="311"/>
      <c r="AB54" s="311"/>
      <c r="AC54" s="311"/>
      <c r="AD54" s="311"/>
      <c r="AE54" s="311"/>
      <c r="AF54" s="311"/>
      <c r="AG54" s="311"/>
      <c r="AH54" s="311"/>
      <c r="AI54" s="311"/>
      <c r="AJ54" s="311"/>
      <c r="AK54" s="311"/>
      <c r="AL54" s="311"/>
      <c r="AM54" s="311"/>
      <c r="AO54" s="69"/>
      <c r="AP54" s="69" t="str">
        <f t="shared" si="1"/>
        <v>Добавить источник для дифференциации</v>
      </c>
      <c r="AQ54" s="69"/>
      <c r="AR54" s="69"/>
    </row>
    <row r="55" spans="1:44" s="68" customFormat="1" ht="0.75" customHeight="1">
      <c r="A55" s="143" t="s">
        <v>181</v>
      </c>
      <c r="B55" s="143" t="s">
        <v>182</v>
      </c>
      <c r="C55" s="143"/>
      <c r="D55" s="143"/>
      <c r="E55" s="1266"/>
      <c r="F55" s="1265"/>
      <c r="G55" s="143"/>
      <c r="H55" s="143"/>
      <c r="I55" s="143"/>
      <c r="J55" s="143"/>
      <c r="K55" s="143"/>
      <c r="L55" s="338"/>
      <c r="M55" s="749"/>
      <c r="N55" s="749"/>
      <c r="P55" s="102"/>
      <c r="Q55" s="745"/>
      <c r="R55" s="102"/>
      <c r="S55" s="750"/>
      <c r="T55" s="752" t="s">
        <v>414</v>
      </c>
      <c r="U55" s="311"/>
      <c r="V55" s="311"/>
      <c r="W55" s="311"/>
      <c r="X55" s="311"/>
      <c r="Y55" s="311"/>
      <c r="Z55" s="311"/>
      <c r="AA55" s="311"/>
      <c r="AB55" s="311"/>
      <c r="AC55" s="311"/>
      <c r="AD55" s="311"/>
      <c r="AE55" s="311"/>
      <c r="AF55" s="311"/>
      <c r="AG55" s="311"/>
      <c r="AH55" s="311"/>
      <c r="AI55" s="311"/>
      <c r="AJ55" s="311"/>
      <c r="AK55" s="311"/>
      <c r="AL55" s="311"/>
      <c r="AM55" s="311"/>
      <c r="AO55" s="69"/>
      <c r="AP55" s="69" t="str">
        <f t="shared" si="1"/>
        <v>Добавить централизованную систему для дифференциации</v>
      </c>
      <c r="AQ55" s="69"/>
      <c r="AR55" s="69"/>
    </row>
    <row r="56" spans="1:44" s="68" customFormat="1" ht="0.75" customHeight="1">
      <c r="A56" s="143" t="s">
        <v>181</v>
      </c>
      <c r="B56" s="143"/>
      <c r="C56" s="143"/>
      <c r="D56" s="143"/>
      <c r="E56" s="1265"/>
      <c r="F56" s="143"/>
      <c r="G56" s="143"/>
      <c r="H56" s="143"/>
      <c r="I56" s="143"/>
      <c r="J56" s="143"/>
      <c r="K56" s="143"/>
      <c r="L56" s="338"/>
      <c r="M56" s="749"/>
      <c r="N56" s="749"/>
      <c r="P56" s="102"/>
      <c r="Q56" s="745"/>
      <c r="R56" s="102"/>
      <c r="S56" s="750"/>
      <c r="T56" s="752" t="s">
        <v>415</v>
      </c>
      <c r="U56" s="311"/>
      <c r="V56" s="311"/>
      <c r="W56" s="311"/>
      <c r="X56" s="311"/>
      <c r="Y56" s="311"/>
      <c r="Z56" s="311"/>
      <c r="AA56" s="311"/>
      <c r="AB56" s="311"/>
      <c r="AC56" s="311"/>
      <c r="AD56" s="311"/>
      <c r="AE56" s="311"/>
      <c r="AF56" s="311"/>
      <c r="AG56" s="311"/>
      <c r="AH56" s="311"/>
      <c r="AI56" s="311"/>
      <c r="AJ56" s="311"/>
      <c r="AK56" s="311"/>
      <c r="AL56" s="311"/>
      <c r="AM56" s="311"/>
      <c r="AO56" s="69"/>
      <c r="AP56" s="69" t="str">
        <f t="shared" si="1"/>
        <v>Добавить территорию для дифференциации</v>
      </c>
      <c r="AQ56" s="69"/>
      <c r="AR56" s="69"/>
    </row>
    <row r="57" spans="1:44" s="68" customFormat="1" ht="0.75" customHeight="1">
      <c r="A57" s="143"/>
      <c r="B57" s="143"/>
      <c r="C57" s="143"/>
      <c r="D57" s="143"/>
      <c r="E57" s="143"/>
      <c r="F57" s="143"/>
      <c r="G57" s="143"/>
      <c r="H57" s="143"/>
      <c r="I57" s="143"/>
      <c r="J57" s="143"/>
      <c r="K57" s="143"/>
      <c r="L57" s="338"/>
      <c r="M57" s="749"/>
      <c r="N57" s="749"/>
      <c r="P57" s="102"/>
      <c r="Q57" s="745"/>
      <c r="R57" s="102"/>
      <c r="S57" s="750"/>
      <c r="T57" s="752" t="s">
        <v>447</v>
      </c>
      <c r="U57" s="311"/>
      <c r="V57" s="311"/>
      <c r="W57" s="311"/>
      <c r="X57" s="311"/>
      <c r="Y57" s="311"/>
      <c r="Z57" s="311"/>
      <c r="AA57" s="311"/>
      <c r="AB57" s="311"/>
      <c r="AC57" s="311"/>
      <c r="AD57" s="311"/>
      <c r="AE57" s="311"/>
      <c r="AF57" s="311"/>
      <c r="AG57" s="311"/>
      <c r="AH57" s="311"/>
      <c r="AI57" s="311"/>
      <c r="AJ57" s="311"/>
      <c r="AK57" s="311"/>
      <c r="AL57" s="311"/>
      <c r="AM57" s="311"/>
      <c r="AO57" s="69"/>
      <c r="AP57" s="69" t="str">
        <f t="shared" si="1"/>
        <v>Добавить наименование тарифа</v>
      </c>
      <c r="AQ57" s="69"/>
      <c r="AR57" s="69"/>
    </row>
    <row r="58" spans="1:44" ht="11.25" customHeight="1">
      <c r="M58" s="63"/>
      <c r="N58" s="63"/>
      <c r="O58" s="63"/>
      <c r="P58" s="12"/>
      <c r="Q58" s="12"/>
      <c r="R58" s="12"/>
      <c r="S58" s="12"/>
      <c r="AN58" s="12"/>
      <c r="AO58" s="12"/>
      <c r="AP58" s="12"/>
      <c r="AQ58" s="12"/>
      <c r="AR58" s="12"/>
    </row>
    <row r="59" spans="1:44" ht="21.75" customHeight="1">
      <c r="O59" s="63"/>
      <c r="S59" s="196"/>
      <c r="T59" s="1285"/>
      <c r="U59" s="1285"/>
      <c r="V59" s="1285"/>
      <c r="W59" s="1285"/>
      <c r="X59" s="1285"/>
      <c r="Y59" s="1285"/>
      <c r="Z59" s="1285"/>
      <c r="AA59" s="1285"/>
      <c r="AB59" s="1285"/>
      <c r="AC59" s="1285"/>
      <c r="AD59" s="1285"/>
      <c r="AE59" s="1285"/>
      <c r="AF59" s="1285"/>
      <c r="AG59" s="1285"/>
      <c r="AH59" s="1285"/>
      <c r="AI59" s="1285"/>
      <c r="AJ59" s="1285"/>
      <c r="AK59" s="1285"/>
      <c r="AL59" s="1285"/>
      <c r="AM59" s="1285"/>
    </row>
    <row r="60" spans="1:44" ht="29.25" customHeight="1">
      <c r="O60" s="63"/>
      <c r="T60" s="1285"/>
      <c r="U60" s="1285"/>
      <c r="V60" s="1285"/>
      <c r="W60" s="1285"/>
      <c r="X60" s="1285"/>
      <c r="Y60" s="1285"/>
      <c r="Z60" s="1285"/>
      <c r="AA60" s="1285"/>
      <c r="AB60" s="1285"/>
      <c r="AC60" s="1285"/>
      <c r="AD60" s="1285"/>
      <c r="AE60" s="1285"/>
      <c r="AF60" s="1285"/>
      <c r="AG60" s="1285"/>
      <c r="AH60" s="1285"/>
      <c r="AI60" s="1285"/>
      <c r="AJ60" s="1285"/>
      <c r="AK60" s="1285"/>
      <c r="AL60" s="1285"/>
      <c r="AM60" s="1285"/>
    </row>
    <row r="61" spans="1:44" ht="39.75" customHeight="1">
      <c r="O61" s="63"/>
      <c r="T61" s="1285"/>
      <c r="U61" s="1285"/>
      <c r="V61" s="1285"/>
      <c r="W61" s="1285"/>
      <c r="X61" s="1285"/>
      <c r="Y61" s="1285"/>
      <c r="Z61" s="1285"/>
      <c r="AA61" s="1285"/>
      <c r="AB61" s="1285"/>
      <c r="AC61" s="1285"/>
      <c r="AD61" s="1285"/>
      <c r="AE61" s="1285"/>
      <c r="AF61" s="1285"/>
      <c r="AG61" s="1285"/>
      <c r="AH61" s="1285"/>
      <c r="AI61" s="1285"/>
      <c r="AJ61" s="1285"/>
      <c r="AK61" s="1285"/>
      <c r="AL61" s="1285"/>
      <c r="AM61" s="1285"/>
    </row>
    <row r="62" spans="1:44" ht="14.25" customHeight="1">
      <c r="O62" s="63"/>
    </row>
    <row r="63" spans="1:44" ht="19.5" customHeight="1">
      <c r="O63" s="63"/>
      <c r="S63" s="196"/>
      <c r="T63" s="1192"/>
      <c r="U63" s="1285"/>
      <c r="V63" s="1285"/>
      <c r="W63" s="1285"/>
      <c r="X63" s="1285"/>
      <c r="Y63" s="1285"/>
      <c r="Z63" s="1285"/>
      <c r="AA63" s="1285"/>
      <c r="AB63" s="1285"/>
      <c r="AC63" s="1285"/>
      <c r="AD63" s="1285"/>
      <c r="AE63" s="1285"/>
      <c r="AF63" s="1285"/>
      <c r="AG63" s="1285"/>
      <c r="AH63" s="1285"/>
      <c r="AI63" s="1285"/>
      <c r="AJ63" s="1285"/>
      <c r="AK63" s="1285"/>
      <c r="AL63" s="1285"/>
      <c r="AM63" s="1285"/>
    </row>
    <row r="64" spans="1:44" ht="27.75" customHeight="1">
      <c r="O64" s="63"/>
      <c r="T64" s="1285"/>
      <c r="U64" s="1285"/>
      <c r="V64" s="1285"/>
      <c r="W64" s="1285"/>
      <c r="X64" s="1285"/>
      <c r="Y64" s="1285"/>
      <c r="Z64" s="1285"/>
      <c r="AA64" s="1285"/>
      <c r="AB64" s="1285"/>
      <c r="AC64" s="1285"/>
      <c r="AD64" s="1285"/>
      <c r="AE64" s="1285"/>
      <c r="AF64" s="1285"/>
      <c r="AG64" s="1285"/>
      <c r="AH64" s="1285"/>
      <c r="AI64" s="1285"/>
      <c r="AJ64" s="1285"/>
      <c r="AK64" s="1285"/>
      <c r="AL64" s="1285"/>
      <c r="AM64" s="1285"/>
    </row>
    <row r="65" spans="20:39" ht="33.75" customHeight="1">
      <c r="T65" s="1285"/>
      <c r="U65" s="1285"/>
      <c r="V65" s="1285"/>
      <c r="W65" s="1285"/>
      <c r="X65" s="1285"/>
      <c r="Y65" s="1285"/>
      <c r="Z65" s="1285"/>
      <c r="AA65" s="1285"/>
      <c r="AB65" s="1285"/>
      <c r="AC65" s="1285"/>
      <c r="AD65" s="1285"/>
      <c r="AE65" s="1285"/>
      <c r="AF65" s="1285"/>
      <c r="AG65" s="1285"/>
      <c r="AH65" s="1285"/>
      <c r="AI65" s="1285"/>
      <c r="AJ65" s="1285"/>
      <c r="AK65" s="1285"/>
      <c r="AL65" s="1285"/>
      <c r="AM65" s="1285"/>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305FA-012D-A6E8-C521-2764343B75B8}">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299" hidden="1" customWidth="1"/>
    <col min="13" max="14" width="12.28515625" style="497" hidden="1" customWidth="1"/>
    <col min="15" max="15" width="23.42578125" style="497" hidden="1" customWidth="1"/>
    <col min="16" max="16" width="3.7109375" style="34" hidden="1" customWidth="1"/>
    <col min="17" max="18" width="3.7109375" style="30" customWidth="1"/>
    <col min="19" max="19" width="12.7109375" style="334" customWidth="1"/>
    <col min="20" max="20" width="32" style="12" customWidth="1"/>
    <col min="21" max="21" width="0.140625" style="12" customWidth="1"/>
    <col min="22" max="22" width="24.7109375" style="12" hidden="1" customWidth="1"/>
    <col min="23" max="23" width="0.140625" style="12" hidden="1" customWidth="1"/>
    <col min="24" max="25" width="24.7109375" style="12" hidden="1" customWidth="1"/>
    <col min="26" max="26" width="11.7109375" style="12" hidden="1" customWidth="1"/>
    <col min="27" max="27" width="3.7109375" style="12" hidden="1" customWidth="1"/>
    <col min="28" max="28" width="11.7109375" style="12" hidden="1" customWidth="1"/>
    <col min="29" max="29" width="8.5703125" style="12" hidden="1" customWidth="1"/>
    <col min="30" max="30" width="24.7109375" style="12" customWidth="1"/>
    <col min="31" max="31" width="0.140625" style="12" customWidth="1"/>
    <col min="32" max="33" width="24.7109375" style="12" customWidth="1"/>
    <col min="34" max="34" width="11.7109375" style="12" customWidth="1"/>
    <col min="35" max="35" width="3.7109375" style="12" customWidth="1"/>
    <col min="36" max="36" width="11.7109375" style="12" customWidth="1"/>
    <col min="37" max="37" width="8.5703125" style="12" hidden="1" customWidth="1"/>
    <col min="38" max="38" width="4.7109375" style="12" customWidth="1"/>
    <col min="39" max="39" width="115.7109375" style="12" customWidth="1"/>
    <col min="40" max="41" width="10.5703125" style="68"/>
    <col min="42" max="42" width="11.140625" style="68" customWidth="1"/>
    <col min="43" max="44" width="10.5703125" style="68"/>
  </cols>
  <sheetData>
    <row r="1" spans="1:44" ht="14.25" hidden="1" customHeight="1"/>
    <row r="2" spans="1:44" ht="21" hidden="1" customHeight="1">
      <c r="A2" s="759"/>
      <c r="B2" s="759"/>
      <c r="C2" s="759"/>
      <c r="D2" s="759"/>
      <c r="E2" s="1265">
        <v>1</v>
      </c>
      <c r="F2" s="759"/>
      <c r="G2" s="759"/>
      <c r="H2" s="759"/>
      <c r="I2" s="759"/>
      <c r="J2" s="759"/>
      <c r="K2" s="759"/>
      <c r="L2" s="760"/>
      <c r="M2" s="417"/>
      <c r="N2" s="417"/>
      <c r="O2" s="417"/>
      <c r="Q2" s="35"/>
      <c r="R2" s="205"/>
      <c r="S2" s="698" t="e">
        <f>INDEX(PT_DIFFERENTIATION_NUM_NTAR,MATCH(A2,PT_DIFFERENTIATION_NTAR_ID,0))</f>
        <v>#N/A</v>
      </c>
      <c r="T2" s="67" t="s">
        <v>124</v>
      </c>
      <c r="U2" s="169"/>
      <c r="V2" s="1251"/>
      <c r="W2" s="1252"/>
      <c r="X2" s="1252"/>
      <c r="Y2" s="1252"/>
      <c r="Z2" s="1252"/>
      <c r="AA2" s="1252"/>
      <c r="AB2" s="1252"/>
      <c r="AC2" s="1253"/>
      <c r="AD2" s="1251" t="e">
        <f>INDEX(PT_DIFFERENTIATION_NTAR,MATCH(A2,PT_DIFFERENTIATION_NTAR_ID,0))</f>
        <v>#N/A</v>
      </c>
      <c r="AE2" s="1252"/>
      <c r="AF2" s="1252"/>
      <c r="AG2" s="1252"/>
      <c r="AH2" s="1252"/>
      <c r="AI2" s="1252"/>
      <c r="AJ2" s="1252"/>
      <c r="AK2" s="1252"/>
      <c r="AL2" s="1253"/>
      <c r="AM2" s="718" t="s">
        <v>395</v>
      </c>
      <c r="AO2" s="69"/>
      <c r="AP2" s="69" t="str">
        <f t="shared" ref="AP2:AP15" si="0">IF(T2="","",T2)</f>
        <v>Наименование тарифа</v>
      </c>
      <c r="AQ2" s="69"/>
      <c r="AR2" s="69"/>
    </row>
    <row r="3" spans="1:44" ht="21" hidden="1" customHeight="1">
      <c r="A3" s="759"/>
      <c r="B3" s="759"/>
      <c r="C3" s="759"/>
      <c r="D3" s="759"/>
      <c r="E3" s="1266"/>
      <c r="F3" s="1265">
        <v>1</v>
      </c>
      <c r="G3" s="759"/>
      <c r="H3" s="759"/>
      <c r="I3" s="759"/>
      <c r="J3" s="759"/>
      <c r="K3" s="759"/>
      <c r="L3" s="760"/>
      <c r="M3" s="417"/>
      <c r="N3" s="417"/>
      <c r="O3" s="417"/>
      <c r="P3" s="59"/>
      <c r="Q3" s="202"/>
      <c r="R3" s="203"/>
      <c r="S3" s="698" t="e">
        <f>INDEX(PT_DIFFERENTIATION_NUM_TER,MATCH(B3,PT_DIFFERENTIATION_TER_ID,0))</f>
        <v>#N/A</v>
      </c>
      <c r="T3" s="175" t="s">
        <v>396</v>
      </c>
      <c r="U3" s="169"/>
      <c r="V3" s="1251"/>
      <c r="W3" s="1252"/>
      <c r="X3" s="1252"/>
      <c r="Y3" s="1252"/>
      <c r="Z3" s="1252"/>
      <c r="AA3" s="1252"/>
      <c r="AB3" s="1252"/>
      <c r="AC3" s="1253"/>
      <c r="AD3" s="1251" t="e">
        <f>INDEX(PT_DIFFERENTIATION_TER,MATCH(B3,PT_DIFFERENTIATION_TER_ID,0))</f>
        <v>#N/A</v>
      </c>
      <c r="AE3" s="1252"/>
      <c r="AF3" s="1252"/>
      <c r="AG3" s="1252"/>
      <c r="AH3" s="1252"/>
      <c r="AI3" s="1252"/>
      <c r="AJ3" s="1252"/>
      <c r="AK3" s="1252"/>
      <c r="AL3" s="1253"/>
      <c r="AM3" s="718" t="s">
        <v>397</v>
      </c>
      <c r="AO3" s="69"/>
      <c r="AP3" s="69" t="str">
        <f t="shared" si="0"/>
        <v>Территория действия тарифа</v>
      </c>
      <c r="AQ3" s="69"/>
      <c r="AR3" s="69"/>
    </row>
    <row r="4" spans="1:44" ht="23.25" hidden="1" customHeight="1">
      <c r="A4" s="759"/>
      <c r="B4" s="759"/>
      <c r="C4" s="759"/>
      <c r="D4" s="759"/>
      <c r="E4" s="1266"/>
      <c r="F4" s="1266"/>
      <c r="G4" s="1265">
        <v>1</v>
      </c>
      <c r="H4" s="759"/>
      <c r="I4" s="759"/>
      <c r="J4" s="759"/>
      <c r="K4" s="759"/>
      <c r="L4" s="760"/>
      <c r="M4" s="417"/>
      <c r="N4" s="417"/>
      <c r="O4" s="417"/>
      <c r="P4" s="204"/>
      <c r="Q4" s="202"/>
      <c r="R4" s="203"/>
      <c r="S4" s="698" t="e">
        <f>INDEX(PT_DIFFERENTIATION_NUM_CS,MATCH(C4,PT_DIFFERENTIATION_CS_ID,0))</f>
        <v>#N/A</v>
      </c>
      <c r="T4" s="176" t="s">
        <v>398</v>
      </c>
      <c r="U4" s="169"/>
      <c r="V4" s="1251"/>
      <c r="W4" s="1252"/>
      <c r="X4" s="1252"/>
      <c r="Y4" s="1252"/>
      <c r="Z4" s="1252"/>
      <c r="AA4" s="1252"/>
      <c r="AB4" s="1252"/>
      <c r="AC4" s="1253"/>
      <c r="AD4" s="1251" t="e">
        <f>INDEX(PT_DIFFERENTIATION_CS,MATCH(C4,PT_DIFFERENTIATION_CS_ID,0))</f>
        <v>#N/A</v>
      </c>
      <c r="AE4" s="1252"/>
      <c r="AF4" s="1252"/>
      <c r="AG4" s="1252"/>
      <c r="AH4" s="1252"/>
      <c r="AI4" s="1252"/>
      <c r="AJ4" s="1252"/>
      <c r="AK4" s="1252"/>
      <c r="AL4" s="1253"/>
      <c r="AM4" s="718" t="s">
        <v>399</v>
      </c>
      <c r="AO4" s="69"/>
      <c r="AP4" s="69" t="str">
        <f t="shared" si="0"/>
        <v xml:space="preserve">Наименование системы теплоснабжения </v>
      </c>
      <c r="AQ4" s="69"/>
      <c r="AR4" s="69"/>
    </row>
    <row r="5" spans="1:44" ht="21" hidden="1" customHeight="1">
      <c r="A5" s="759"/>
      <c r="B5" s="759"/>
      <c r="C5" s="759"/>
      <c r="D5" s="759"/>
      <c r="E5" s="1266"/>
      <c r="F5" s="1266"/>
      <c r="G5" s="1266"/>
      <c r="H5" s="1265">
        <v>1</v>
      </c>
      <c r="I5" s="759"/>
      <c r="J5" s="759"/>
      <c r="K5" s="759"/>
      <c r="L5" s="760"/>
      <c r="M5" s="417"/>
      <c r="N5" s="417"/>
      <c r="O5" s="417"/>
      <c r="P5" s="204"/>
      <c r="Q5" s="202"/>
      <c r="R5" s="203"/>
      <c r="S5" s="698" t="e">
        <f>INDEX(PT_DIFFERENTIATION_NUM_IST_TE,MATCH(D5,PT_DIFFERENTIATION_IST_TE_ID,0))</f>
        <v>#N/A</v>
      </c>
      <c r="T5" s="177" t="s">
        <v>400</v>
      </c>
      <c r="U5" s="169"/>
      <c r="V5" s="1251"/>
      <c r="W5" s="1252"/>
      <c r="X5" s="1252"/>
      <c r="Y5" s="1252"/>
      <c r="Z5" s="1252"/>
      <c r="AA5" s="1252"/>
      <c r="AB5" s="1252"/>
      <c r="AC5" s="1253"/>
      <c r="AD5" s="1251" t="e">
        <f>INDEX(PT_DIFFERENTIATION_IST_TE,MATCH(D5,PT_DIFFERENTIATION_IST_TE_ID,0))</f>
        <v>#N/A</v>
      </c>
      <c r="AE5" s="1252"/>
      <c r="AF5" s="1252"/>
      <c r="AG5" s="1252"/>
      <c r="AH5" s="1252"/>
      <c r="AI5" s="1252"/>
      <c r="AJ5" s="1252"/>
      <c r="AK5" s="1252"/>
      <c r="AL5" s="1253"/>
      <c r="AM5" s="718" t="s">
        <v>401</v>
      </c>
      <c r="AO5" s="69"/>
      <c r="AP5" s="69" t="str">
        <f t="shared" si="0"/>
        <v xml:space="preserve">Источник тепловой энергии  </v>
      </c>
      <c r="AQ5" s="69"/>
      <c r="AR5" s="69"/>
    </row>
    <row r="6" spans="1:44" ht="14.25" hidden="1" customHeight="1">
      <c r="A6" s="759"/>
      <c r="B6" s="759"/>
      <c r="C6" s="759"/>
      <c r="D6" s="759"/>
      <c r="E6" s="1266"/>
      <c r="F6" s="1266"/>
      <c r="G6" s="1266"/>
      <c r="H6" s="1266"/>
      <c r="I6" s="1263" t="e">
        <f>S5&amp;".1"</f>
        <v>#N/A</v>
      </c>
      <c r="J6" s="759"/>
      <c r="K6" s="759"/>
      <c r="L6" s="760" t="s">
        <v>402</v>
      </c>
      <c r="M6" s="63"/>
      <c r="P6" s="1264">
        <v>1</v>
      </c>
      <c r="Q6" s="120"/>
      <c r="R6" s="206"/>
      <c r="S6" s="353"/>
      <c r="T6" s="769"/>
      <c r="U6" s="770"/>
      <c r="V6" s="1294"/>
      <c r="W6" s="1295"/>
      <c r="X6" s="1295"/>
      <c r="Y6" s="1295"/>
      <c r="Z6" s="1295"/>
      <c r="AA6" s="1295"/>
      <c r="AB6" s="1295"/>
      <c r="AC6" s="1296"/>
      <c r="AD6" s="1294"/>
      <c r="AE6" s="1295"/>
      <c r="AF6" s="1295"/>
      <c r="AG6" s="1295"/>
      <c r="AH6" s="1295"/>
      <c r="AI6" s="1295"/>
      <c r="AJ6" s="1295"/>
      <c r="AK6" s="1295"/>
      <c r="AL6" s="1296"/>
      <c r="AM6" s="771"/>
      <c r="AO6" s="69"/>
      <c r="AP6" s="69" t="str">
        <f t="shared" si="0"/>
        <v/>
      </c>
      <c r="AQ6" s="69"/>
      <c r="AR6" s="69"/>
    </row>
    <row r="7" spans="1:44" ht="21" hidden="1" customHeight="1">
      <c r="A7" s="759"/>
      <c r="B7" s="759"/>
      <c r="C7" s="759"/>
      <c r="D7" s="759"/>
      <c r="E7" s="1266"/>
      <c r="F7" s="1266"/>
      <c r="G7" s="1266"/>
      <c r="H7" s="1266"/>
      <c r="I7" s="1286"/>
      <c r="J7" s="1263" t="e">
        <f>I6&amp;".1"</f>
        <v>#N/A</v>
      </c>
      <c r="K7" s="759"/>
      <c r="L7" s="760" t="s">
        <v>405</v>
      </c>
      <c r="M7" s="63"/>
      <c r="N7" s="63"/>
      <c r="P7" s="1264"/>
      <c r="Q7" s="1264">
        <v>1</v>
      </c>
      <c r="R7" s="207"/>
      <c r="S7" s="698" t="e">
        <f>$J7</f>
        <v>#N/A</v>
      </c>
      <c r="T7" s="163" t="s">
        <v>406</v>
      </c>
      <c r="U7" s="169"/>
      <c r="V7" s="1254"/>
      <c r="W7" s="1255"/>
      <c r="X7" s="1255"/>
      <c r="Y7" s="1255"/>
      <c r="Z7" s="1255"/>
      <c r="AA7" s="1255"/>
      <c r="AB7" s="1255"/>
      <c r="AC7" s="1256"/>
      <c r="AD7" s="1254"/>
      <c r="AE7" s="1255"/>
      <c r="AF7" s="1255"/>
      <c r="AG7" s="1255"/>
      <c r="AH7" s="1255"/>
      <c r="AI7" s="1255"/>
      <c r="AJ7" s="1255"/>
      <c r="AK7" s="1255"/>
      <c r="AL7" s="1256"/>
      <c r="AM7" s="718" t="s">
        <v>407</v>
      </c>
      <c r="AO7" s="69"/>
      <c r="AP7" s="69" t="str">
        <f t="shared" si="0"/>
        <v>Группа потребителей</v>
      </c>
      <c r="AQ7" s="69"/>
      <c r="AR7" s="69"/>
    </row>
    <row r="8" spans="1:44" ht="21" hidden="1" customHeight="1">
      <c r="A8" s="759"/>
      <c r="B8" s="759"/>
      <c r="C8" s="759"/>
      <c r="D8" s="759"/>
      <c r="E8" s="1266"/>
      <c r="F8" s="1266"/>
      <c r="G8" s="1266"/>
      <c r="H8" s="1266"/>
      <c r="I8" s="1286"/>
      <c r="J8" s="1286"/>
      <c r="K8" s="1263" t="e">
        <f>J7&amp;".1"</f>
        <v>#N/A</v>
      </c>
      <c r="L8" s="760" t="s">
        <v>408</v>
      </c>
      <c r="M8" s="63"/>
      <c r="N8" s="63"/>
      <c r="O8" s="63"/>
      <c r="P8" s="1264"/>
      <c r="Q8" s="1264"/>
      <c r="R8" s="207">
        <v>1</v>
      </c>
      <c r="S8" s="698" t="e">
        <f>$K8</f>
        <v>#N/A</v>
      </c>
      <c r="T8" s="755"/>
      <c r="U8" s="169"/>
      <c r="V8" s="304"/>
      <c r="W8" s="189"/>
      <c r="X8" s="304"/>
      <c r="Y8" s="717"/>
      <c r="Z8" s="1268"/>
      <c r="AA8" s="1127" t="s">
        <v>62</v>
      </c>
      <c r="AB8" s="1268"/>
      <c r="AC8" s="1127" t="s">
        <v>62</v>
      </c>
      <c r="AD8" s="304"/>
      <c r="AE8" s="189"/>
      <c r="AF8" s="304"/>
      <c r="AG8" s="717"/>
      <c r="AH8" s="1268"/>
      <c r="AI8" s="1127" t="s">
        <v>62</v>
      </c>
      <c r="AJ8" s="1268"/>
      <c r="AK8" s="1127" t="s">
        <v>62</v>
      </c>
      <c r="AL8" s="189"/>
      <c r="AM8" s="1260" t="s">
        <v>409</v>
      </c>
      <c r="AN8" s="68" t="e">
        <f ca="1">STRCHECKDATE(V9:AL9)</f>
        <v>#NAME?</v>
      </c>
      <c r="AO8" s="69"/>
      <c r="AP8" s="69" t="str">
        <f t="shared" si="0"/>
        <v/>
      </c>
      <c r="AQ8" s="69"/>
      <c r="AR8" s="69"/>
    </row>
    <row r="9" spans="1:44" ht="14.25" hidden="1" customHeight="1">
      <c r="A9" s="759"/>
      <c r="B9" s="759"/>
      <c r="C9" s="759"/>
      <c r="D9" s="759"/>
      <c r="E9" s="1266"/>
      <c r="F9" s="1266"/>
      <c r="G9" s="1266"/>
      <c r="H9" s="1266"/>
      <c r="I9" s="1286"/>
      <c r="J9" s="1286"/>
      <c r="K9" s="1263"/>
      <c r="L9" s="760"/>
      <c r="M9" s="63"/>
      <c r="N9" s="63"/>
      <c r="O9" s="63"/>
      <c r="P9" s="1264"/>
      <c r="Q9" s="1264"/>
      <c r="R9" s="207"/>
      <c r="S9" s="65"/>
      <c r="T9" s="169"/>
      <c r="U9" s="169"/>
      <c r="V9" s="189"/>
      <c r="W9" s="189"/>
      <c r="X9" s="189"/>
      <c r="Y9" s="190" t="str">
        <f>Z8&amp;"-"&amp;AB8</f>
        <v>-</v>
      </c>
      <c r="Z9" s="1269"/>
      <c r="AA9" s="1127"/>
      <c r="AB9" s="1269"/>
      <c r="AC9" s="1127"/>
      <c r="AD9" s="189"/>
      <c r="AE9" s="189"/>
      <c r="AF9" s="189"/>
      <c r="AG9" s="190" t="str">
        <f>AH8&amp;"-"&amp;AJ8</f>
        <v>-</v>
      </c>
      <c r="AH9" s="1269"/>
      <c r="AI9" s="1127"/>
      <c r="AJ9" s="1269"/>
      <c r="AK9" s="1127"/>
      <c r="AL9" s="189"/>
      <c r="AM9" s="1261"/>
      <c r="AO9" s="69"/>
      <c r="AP9" s="69" t="str">
        <f t="shared" si="0"/>
        <v/>
      </c>
      <c r="AQ9" s="69"/>
      <c r="AR9" s="69"/>
    </row>
    <row r="10" spans="1:44" ht="15" hidden="1" customHeight="1">
      <c r="A10" s="759"/>
      <c r="B10" s="759"/>
      <c r="C10" s="759"/>
      <c r="D10" s="759"/>
      <c r="E10" s="1266"/>
      <c r="F10" s="1266"/>
      <c r="G10" s="1266"/>
      <c r="H10" s="1266"/>
      <c r="I10" s="1286"/>
      <c r="J10" s="1263"/>
      <c r="K10" s="759"/>
      <c r="L10" s="760"/>
      <c r="M10" s="63"/>
      <c r="N10" s="63"/>
      <c r="P10" s="1264"/>
      <c r="Q10" s="1264"/>
      <c r="R10" s="206"/>
      <c r="S10" s="732"/>
      <c r="T10" s="164" t="s">
        <v>410</v>
      </c>
      <c r="U10" s="211"/>
      <c r="V10" s="211"/>
      <c r="W10" s="211"/>
      <c r="X10" s="211"/>
      <c r="Y10" s="211"/>
      <c r="Z10" s="211"/>
      <c r="AA10" s="211"/>
      <c r="AB10" s="211"/>
      <c r="AC10" s="211"/>
      <c r="AD10" s="211"/>
      <c r="AE10" s="211"/>
      <c r="AF10" s="211"/>
      <c r="AG10" s="211"/>
      <c r="AH10" s="211"/>
      <c r="AI10" s="211"/>
      <c r="AJ10" s="211"/>
      <c r="AK10" s="211"/>
      <c r="AL10" s="188"/>
      <c r="AM10" s="1262"/>
      <c r="AO10" s="69"/>
      <c r="AP10" s="69" t="str">
        <f t="shared" si="0"/>
        <v>Добавить вид теплоносителя (параметры теплоносителя)</v>
      </c>
      <c r="AQ10" s="69"/>
      <c r="AR10" s="69"/>
    </row>
    <row r="11" spans="1:44" ht="11.25" hidden="1" customHeight="1">
      <c r="A11" s="759"/>
      <c r="B11" s="759"/>
      <c r="C11" s="759"/>
      <c r="D11" s="759"/>
      <c r="E11" s="1266"/>
      <c r="F11" s="1266"/>
      <c r="G11" s="1266"/>
      <c r="H11" s="1266"/>
      <c r="I11" s="1263"/>
      <c r="J11" s="759"/>
      <c r="K11" s="759"/>
      <c r="L11" s="760"/>
      <c r="M11" s="63"/>
      <c r="P11" s="1264"/>
      <c r="Q11" s="120"/>
      <c r="R11" s="206"/>
      <c r="S11" s="732"/>
      <c r="T11" s="209" t="s">
        <v>411</v>
      </c>
      <c r="U11" s="211"/>
      <c r="V11" s="211"/>
      <c r="W11" s="211"/>
      <c r="X11" s="211"/>
      <c r="Y11" s="211"/>
      <c r="Z11" s="211"/>
      <c r="AA11" s="211"/>
      <c r="AB11" s="211"/>
      <c r="AC11" s="210"/>
      <c r="AD11" s="211"/>
      <c r="AE11" s="211"/>
      <c r="AF11" s="211"/>
      <c r="AG11" s="211"/>
      <c r="AH11" s="211"/>
      <c r="AI11" s="211"/>
      <c r="AJ11" s="211"/>
      <c r="AK11" s="210"/>
      <c r="AL11" s="211"/>
      <c r="AM11" s="172"/>
      <c r="AO11" s="69"/>
      <c r="AP11" s="69" t="str">
        <f t="shared" si="0"/>
        <v>Добавить группу потребителей</v>
      </c>
      <c r="AQ11" s="69"/>
      <c r="AR11" s="69"/>
    </row>
    <row r="12" spans="1:44" ht="14.25" hidden="1" customHeight="1">
      <c r="A12" s="759"/>
      <c r="B12" s="759"/>
      <c r="C12" s="759"/>
      <c r="D12" s="759"/>
      <c r="E12" s="1266"/>
      <c r="F12" s="1266"/>
      <c r="G12" s="1266"/>
      <c r="H12" s="1265"/>
      <c r="I12" s="759"/>
      <c r="J12" s="759"/>
      <c r="K12" s="759"/>
      <c r="L12" s="760"/>
      <c r="M12" s="417"/>
      <c r="N12" s="417"/>
      <c r="O12" s="63"/>
      <c r="P12" s="35"/>
      <c r="Q12" s="214"/>
      <c r="R12" s="205"/>
      <c r="S12" s="772"/>
      <c r="T12" s="773"/>
      <c r="U12" s="774"/>
      <c r="V12" s="774"/>
      <c r="W12" s="774"/>
      <c r="X12" s="774"/>
      <c r="Y12" s="774"/>
      <c r="Z12" s="774"/>
      <c r="AA12" s="774"/>
      <c r="AB12" s="774"/>
      <c r="AC12" s="774"/>
      <c r="AD12" s="774"/>
      <c r="AE12" s="774"/>
      <c r="AF12" s="774"/>
      <c r="AG12" s="774"/>
      <c r="AH12" s="774"/>
      <c r="AI12" s="774"/>
      <c r="AJ12" s="774"/>
      <c r="AK12" s="774"/>
      <c r="AL12" s="774"/>
      <c r="AM12" s="775"/>
      <c r="AO12" s="69"/>
      <c r="AP12" s="69" t="str">
        <f t="shared" si="0"/>
        <v/>
      </c>
      <c r="AQ12" s="69"/>
      <c r="AR12" s="69"/>
    </row>
    <row r="13" spans="1:44" s="68" customFormat="1" ht="14.25" hidden="1" customHeight="1">
      <c r="A13" s="143"/>
      <c r="B13" s="143"/>
      <c r="C13" s="143"/>
      <c r="D13" s="143"/>
      <c r="E13" s="1266"/>
      <c r="F13" s="1266"/>
      <c r="G13" s="1265"/>
      <c r="H13" s="143"/>
      <c r="I13" s="143"/>
      <c r="J13" s="143"/>
      <c r="K13" s="143"/>
      <c r="L13" s="338"/>
      <c r="M13" s="291"/>
      <c r="N13" s="291"/>
      <c r="P13" s="102"/>
      <c r="Q13" s="745"/>
      <c r="R13" s="102"/>
      <c r="S13" s="746"/>
      <c r="T13" s="747" t="s">
        <v>413</v>
      </c>
      <c r="U13" s="748"/>
      <c r="V13" s="748"/>
      <c r="W13" s="748"/>
      <c r="X13" s="748"/>
      <c r="Y13" s="748"/>
      <c r="Z13" s="748"/>
      <c r="AA13" s="748"/>
      <c r="AB13" s="748"/>
      <c r="AC13" s="748"/>
      <c r="AD13" s="748"/>
      <c r="AE13" s="748"/>
      <c r="AF13" s="748"/>
      <c r="AG13" s="748"/>
      <c r="AH13" s="748"/>
      <c r="AI13" s="748"/>
      <c r="AJ13" s="748"/>
      <c r="AK13" s="748"/>
      <c r="AL13" s="748"/>
      <c r="AM13" s="748"/>
      <c r="AO13" s="69"/>
      <c r="AP13" s="69" t="str">
        <f t="shared" si="0"/>
        <v>Добавить источник для дифференциации</v>
      </c>
      <c r="AQ13" s="69"/>
      <c r="AR13" s="69"/>
    </row>
    <row r="14" spans="1:44" s="68" customFormat="1" ht="14.25" hidden="1" customHeight="1">
      <c r="A14" s="143"/>
      <c r="B14" s="143"/>
      <c r="C14" s="143"/>
      <c r="D14" s="143"/>
      <c r="E14" s="1266"/>
      <c r="F14" s="1265"/>
      <c r="G14" s="143"/>
      <c r="H14" s="143"/>
      <c r="I14" s="143"/>
      <c r="J14" s="143"/>
      <c r="K14" s="143"/>
      <c r="L14" s="338"/>
      <c r="M14" s="749"/>
      <c r="N14" s="749"/>
      <c r="P14" s="102"/>
      <c r="Q14" s="745"/>
      <c r="R14" s="102"/>
      <c r="S14" s="750"/>
      <c r="T14" s="751" t="s">
        <v>414</v>
      </c>
      <c r="U14" s="311"/>
      <c r="V14" s="311"/>
      <c r="W14" s="311"/>
      <c r="X14" s="311"/>
      <c r="Y14" s="311"/>
      <c r="Z14" s="311"/>
      <c r="AA14" s="311"/>
      <c r="AB14" s="311"/>
      <c r="AC14" s="311"/>
      <c r="AD14" s="311"/>
      <c r="AE14" s="311"/>
      <c r="AF14" s="311"/>
      <c r="AG14" s="311"/>
      <c r="AH14" s="311"/>
      <c r="AI14" s="311"/>
      <c r="AJ14" s="311"/>
      <c r="AK14" s="311"/>
      <c r="AL14" s="311"/>
      <c r="AM14" s="311"/>
      <c r="AO14" s="69"/>
      <c r="AP14" s="69" t="str">
        <f t="shared" si="0"/>
        <v>Добавить централизованную систему для дифференциации</v>
      </c>
      <c r="AQ14" s="69"/>
      <c r="AR14" s="69"/>
    </row>
    <row r="15" spans="1:44" s="68" customFormat="1" ht="14.25" hidden="1" customHeight="1">
      <c r="A15" s="143"/>
      <c r="B15" s="143"/>
      <c r="C15" s="143"/>
      <c r="D15" s="143"/>
      <c r="E15" s="1265"/>
      <c r="F15" s="143"/>
      <c r="G15" s="143"/>
      <c r="H15" s="143"/>
      <c r="I15" s="143"/>
      <c r="J15" s="143"/>
      <c r="K15" s="143"/>
      <c r="L15" s="338"/>
      <c r="M15" s="749"/>
      <c r="N15" s="749"/>
      <c r="P15" s="102"/>
      <c r="Q15" s="745"/>
      <c r="R15" s="102"/>
      <c r="S15" s="750"/>
      <c r="T15" s="752" t="s">
        <v>415</v>
      </c>
      <c r="U15" s="311"/>
      <c r="V15" s="311"/>
      <c r="W15" s="311"/>
      <c r="X15" s="311"/>
      <c r="Y15" s="311"/>
      <c r="Z15" s="311"/>
      <c r="AA15" s="311"/>
      <c r="AB15" s="311"/>
      <c r="AC15" s="311"/>
      <c r="AD15" s="311"/>
      <c r="AE15" s="311"/>
      <c r="AF15" s="311"/>
      <c r="AG15" s="311"/>
      <c r="AH15" s="311"/>
      <c r="AI15" s="311"/>
      <c r="AJ15" s="311"/>
      <c r="AK15" s="311"/>
      <c r="AL15" s="311"/>
      <c r="AM15" s="311"/>
      <c r="AO15" s="69"/>
      <c r="AP15" s="69" t="str">
        <f t="shared" si="0"/>
        <v>Добавить территорию для дифференциации</v>
      </c>
      <c r="AQ15" s="69"/>
      <c r="AR15" s="69"/>
    </row>
    <row r="16" spans="1:44" ht="14.25" hidden="1" customHeight="1"/>
    <row r="17" spans="1:44" ht="14.25" hidden="1" customHeight="1">
      <c r="AD17" s="359"/>
      <c r="AE17" s="359"/>
      <c r="AF17" s="359"/>
      <c r="AG17" s="758"/>
      <c r="AH17" s="1270"/>
      <c r="AI17" s="1271" t="s">
        <v>62</v>
      </c>
      <c r="AJ17" s="1270"/>
      <c r="AK17" s="1271" t="s">
        <v>62</v>
      </c>
    </row>
    <row r="18" spans="1:44" ht="14.25" hidden="1" customHeight="1">
      <c r="AD18" s="359"/>
      <c r="AE18" s="359"/>
      <c r="AF18" s="359"/>
      <c r="AG18" s="190" t="str">
        <f>AH17&amp;"-"&amp;AJ17</f>
        <v>-</v>
      </c>
      <c r="AH18" s="1271"/>
      <c r="AI18" s="1271"/>
      <c r="AJ18" s="1271"/>
      <c r="AK18" s="1271"/>
    </row>
    <row r="19" spans="1:44" ht="14.25" hidden="1" customHeight="1"/>
    <row r="20" spans="1:44" s="63" customFormat="1" ht="22.5" hidden="1" customHeight="1">
      <c r="L20" s="299"/>
      <c r="M20" s="497"/>
      <c r="N20" s="497"/>
      <c r="O20" s="761" t="s">
        <v>416</v>
      </c>
      <c r="P20" s="497"/>
      <c r="Q20" s="762"/>
      <c r="R20" s="762"/>
      <c r="S20" s="417"/>
      <c r="Z20" s="761"/>
      <c r="AB20" s="761"/>
      <c r="AH20" s="761"/>
      <c r="AJ20" s="761"/>
      <c r="AN20" s="68"/>
      <c r="AO20" s="68"/>
      <c r="AP20" s="68"/>
      <c r="AQ20" s="68"/>
      <c r="AR20" s="68"/>
    </row>
    <row r="21" spans="1:44" s="63" customFormat="1" ht="14.25" hidden="1" customHeight="1">
      <c r="L21" s="299"/>
      <c r="M21" s="497"/>
      <c r="N21" s="497"/>
      <c r="O21" s="497"/>
      <c r="P21" s="497"/>
      <c r="Q21" s="762"/>
      <c r="R21" s="762"/>
      <c r="S21" s="417"/>
      <c r="AN21" s="68"/>
      <c r="AO21" s="68"/>
      <c r="AP21" s="68"/>
      <c r="AQ21" s="68"/>
      <c r="AR21" s="68"/>
    </row>
    <row r="22" spans="1:44" s="63" customFormat="1" ht="14.25" hidden="1" customHeight="1">
      <c r="L22" s="299"/>
      <c r="M22" s="497"/>
      <c r="N22" s="497"/>
      <c r="O22" s="760" t="s">
        <v>417</v>
      </c>
      <c r="P22" s="497"/>
      <c r="Q22" s="762"/>
      <c r="R22" s="762"/>
      <c r="S22" s="417"/>
      <c r="T22" s="63" t="s">
        <v>418</v>
      </c>
      <c r="AA22" s="81" t="s">
        <v>419</v>
      </c>
      <c r="AC22" s="81" t="s">
        <v>420</v>
      </c>
      <c r="AD22" s="63" t="s">
        <v>418</v>
      </c>
      <c r="AI22" s="81" t="s">
        <v>421</v>
      </c>
      <c r="AK22" s="81" t="s">
        <v>420</v>
      </c>
      <c r="AN22" s="68"/>
      <c r="AO22" s="68"/>
      <c r="AP22" s="68"/>
      <c r="AQ22" s="68"/>
      <c r="AR22" s="68"/>
    </row>
    <row r="23" spans="1:44" ht="14.25" hidden="1" customHeight="1">
      <c r="O23" s="760"/>
    </row>
    <row r="24" spans="1:44" ht="14.25" hidden="1" customHeight="1">
      <c r="O24" s="760"/>
    </row>
    <row r="25" spans="1:44" ht="14.25" customHeight="1">
      <c r="Q25" s="29"/>
      <c r="R25" s="29"/>
      <c r="S25" s="729"/>
      <c r="T25" s="11"/>
      <c r="U25" s="11"/>
    </row>
    <row r="26" spans="1:44" ht="51" customHeight="1">
      <c r="Q26" s="29"/>
      <c r="R26" s="29"/>
      <c r="S26" s="1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49"/>
      <c r="U26" s="1249"/>
      <c r="V26" s="1249"/>
      <c r="W26" s="1249"/>
      <c r="X26" s="1249"/>
      <c r="Y26" s="1249"/>
      <c r="Z26" s="1249"/>
      <c r="AA26" s="1249"/>
      <c r="AB26" s="1249"/>
      <c r="AC26" s="1249"/>
      <c r="AD26" s="1249"/>
      <c r="AE26" s="1249"/>
      <c r="AF26" s="1249"/>
      <c r="AG26" s="1249"/>
      <c r="AH26" s="1249"/>
      <c r="AI26" s="1249"/>
      <c r="AJ26" s="1249"/>
      <c r="AK26" s="60"/>
    </row>
    <row r="27" spans="1:44" ht="14.25" customHeight="1">
      <c r="Q27" s="29"/>
      <c r="R27" s="29"/>
      <c r="S27" s="1194" t="str">
        <f>IF(org=0,"Не определено",org)</f>
        <v>АО "ХТК"</v>
      </c>
      <c r="T27" s="1194"/>
      <c r="U27" s="1194"/>
      <c r="V27" s="1194"/>
      <c r="W27" s="1194"/>
      <c r="X27" s="1194"/>
      <c r="Y27" s="1194"/>
      <c r="Z27" s="1194"/>
      <c r="AA27" s="1194"/>
      <c r="AB27" s="1194"/>
      <c r="AC27" s="1194"/>
      <c r="AD27" s="1194"/>
      <c r="AE27" s="1194"/>
      <c r="AF27" s="1194"/>
      <c r="AG27" s="1194"/>
      <c r="AH27" s="1194"/>
      <c r="AI27" s="1194"/>
      <c r="AJ27" s="1194"/>
      <c r="AK27" s="60"/>
    </row>
    <row r="28" spans="1:44" ht="14.25" hidden="1" customHeight="1">
      <c r="Q28" s="29"/>
      <c r="R28" s="29"/>
      <c r="S28" s="729"/>
      <c r="T28" s="11"/>
      <c r="U28" s="11"/>
      <c r="V28" s="187"/>
      <c r="W28" s="187"/>
      <c r="X28" s="187"/>
      <c r="Y28" s="187"/>
      <c r="Z28" s="187"/>
      <c r="AA28" s="187"/>
      <c r="AB28" s="187"/>
      <c r="AC28" s="187"/>
      <c r="AD28" s="187"/>
      <c r="AE28" s="187"/>
      <c r="AF28" s="187"/>
      <c r="AG28" s="187"/>
      <c r="AH28" s="187"/>
      <c r="AI28" s="187"/>
      <c r="AJ28" s="187"/>
      <c r="AK28" s="187"/>
    </row>
    <row r="29" spans="1:44" s="36" customFormat="1" ht="25.5" hidden="1" customHeight="1">
      <c r="A29" s="81"/>
      <c r="B29" s="81"/>
      <c r="C29" s="81"/>
      <c r="D29" s="81"/>
      <c r="E29" s="81"/>
      <c r="F29" s="81"/>
      <c r="G29" s="81"/>
      <c r="H29" s="81"/>
      <c r="I29" s="81"/>
      <c r="J29" s="81"/>
      <c r="K29" s="81"/>
      <c r="L29" s="760"/>
      <c r="M29" s="81"/>
      <c r="N29" s="81"/>
      <c r="O29" s="81"/>
      <c r="S29" s="1257" t="s">
        <v>37</v>
      </c>
      <c r="T29" s="1257"/>
      <c r="U29" s="763"/>
      <c r="V29" s="1258" t="str">
        <f>IF(TITLE_NAME_OR_PR_CHANGE="",IF(TITLE_NAME_OR_PR="","",TITLE_NAME_OR_PR),TITLE_NAME_OR_PR_CHANGE)</f>
        <v/>
      </c>
      <c r="W29" s="1258"/>
      <c r="X29" s="1258"/>
      <c r="Y29" s="1258"/>
      <c r="Z29" s="1258"/>
      <c r="AA29" s="1258"/>
      <c r="AB29" s="1258"/>
      <c r="AC29" s="12"/>
      <c r="AD29" s="1258" t="str">
        <f>IF(TITLE_NAME_OR_PR_CHANGE="",IF(TITLE_NAME_OR_PR="","",TITLE_NAME_OR_PR),TITLE_NAME_OR_PR_CHANGE)</f>
        <v/>
      </c>
      <c r="AE29" s="1258"/>
      <c r="AF29" s="1258"/>
      <c r="AG29" s="1258"/>
      <c r="AH29" s="1258"/>
      <c r="AI29" s="1258"/>
      <c r="AJ29" s="1258"/>
      <c r="AK29" s="12"/>
      <c r="AL29" s="12"/>
      <c r="AM29" s="161"/>
      <c r="AN29" s="69"/>
      <c r="AO29" s="69"/>
      <c r="AP29" s="69"/>
      <c r="AQ29" s="69"/>
      <c r="AR29" s="69"/>
    </row>
    <row r="30" spans="1:44" s="36" customFormat="1" ht="18.75" hidden="1" customHeight="1">
      <c r="A30" s="81"/>
      <c r="B30" s="81"/>
      <c r="C30" s="81"/>
      <c r="D30" s="81"/>
      <c r="E30" s="81"/>
      <c r="F30" s="81"/>
      <c r="G30" s="81"/>
      <c r="H30" s="81"/>
      <c r="I30" s="81"/>
      <c r="J30" s="81"/>
      <c r="K30" s="81"/>
      <c r="L30" s="760"/>
      <c r="M30" s="81"/>
      <c r="N30" s="81"/>
      <c r="O30" s="81"/>
      <c r="S30" s="1257" t="s">
        <v>422</v>
      </c>
      <c r="T30" s="1257"/>
      <c r="U30" s="763"/>
      <c r="V30" s="1267" t="str">
        <f>IF(TITLE_DATE_PR_CHANGE="",IF(TITLE_DATE_PR="","",TITLE_DATE_PR),TITLE_DATE_PR_CHANGE)</f>
        <v/>
      </c>
      <c r="W30" s="1267"/>
      <c r="X30" s="1267"/>
      <c r="Y30" s="1267"/>
      <c r="Z30" s="1267"/>
      <c r="AA30" s="1267"/>
      <c r="AB30" s="1267"/>
      <c r="AC30" s="12"/>
      <c r="AD30" s="1267" t="str">
        <f>IF(TITLE_DATE_PR_CHANGE="",IF(TITLE_DATE_PR="","",TITLE_DATE_PR),TITLE_DATE_PR_CHANGE)</f>
        <v/>
      </c>
      <c r="AE30" s="1267"/>
      <c r="AF30" s="1267"/>
      <c r="AG30" s="1267"/>
      <c r="AH30" s="1267"/>
      <c r="AI30" s="1267"/>
      <c r="AJ30" s="1267"/>
      <c r="AK30" s="12"/>
      <c r="AL30" s="12"/>
      <c r="AM30" s="161"/>
      <c r="AN30" s="69"/>
      <c r="AO30" s="69"/>
      <c r="AP30" s="69"/>
      <c r="AQ30" s="69"/>
      <c r="AR30" s="69"/>
    </row>
    <row r="31" spans="1:44" s="36" customFormat="1" ht="18.75" hidden="1" customHeight="1">
      <c r="A31" s="81"/>
      <c r="B31" s="81"/>
      <c r="C31" s="81"/>
      <c r="D31" s="81"/>
      <c r="E31" s="81"/>
      <c r="F31" s="81"/>
      <c r="G31" s="81"/>
      <c r="H31" s="81"/>
      <c r="I31" s="81"/>
      <c r="J31" s="81"/>
      <c r="K31" s="81"/>
      <c r="L31" s="760"/>
      <c r="M31" s="81"/>
      <c r="N31" s="81"/>
      <c r="O31" s="81"/>
      <c r="S31" s="1257" t="s">
        <v>423</v>
      </c>
      <c r="T31" s="1257"/>
      <c r="U31" s="763"/>
      <c r="V31" s="1258" t="str">
        <f>IF(TITLE_NUMBER_PR_CHANGE="",IF(TITLE_NUMBER_PR="","",TITLE_NUMBER_PR),TITLE_NUMBER_PR_CHANGE)</f>
        <v/>
      </c>
      <c r="W31" s="1258"/>
      <c r="X31" s="1258"/>
      <c r="Y31" s="1258"/>
      <c r="Z31" s="1258"/>
      <c r="AA31" s="1258"/>
      <c r="AB31" s="1258"/>
      <c r="AC31" s="12"/>
      <c r="AD31" s="1258" t="str">
        <f>IF(TITLE_NUMBER_PR_CHANGE="",IF(TITLE_NUMBER_PR="","",TITLE_NUMBER_PR),TITLE_NUMBER_PR_CHANGE)</f>
        <v/>
      </c>
      <c r="AE31" s="1258"/>
      <c r="AF31" s="1258"/>
      <c r="AG31" s="1258"/>
      <c r="AH31" s="1258"/>
      <c r="AI31" s="1258"/>
      <c r="AJ31" s="1258"/>
      <c r="AK31" s="12"/>
      <c r="AL31" s="12"/>
      <c r="AM31" s="161"/>
      <c r="AN31" s="69"/>
      <c r="AO31" s="69"/>
      <c r="AP31" s="69"/>
      <c r="AQ31" s="69"/>
      <c r="AR31" s="69"/>
    </row>
    <row r="32" spans="1:44" s="36" customFormat="1" ht="18.75" hidden="1" customHeight="1">
      <c r="A32" s="81"/>
      <c r="B32" s="81"/>
      <c r="C32" s="81"/>
      <c r="D32" s="81"/>
      <c r="E32" s="81"/>
      <c r="F32" s="81"/>
      <c r="G32" s="81"/>
      <c r="H32" s="81"/>
      <c r="I32" s="81"/>
      <c r="J32" s="81"/>
      <c r="K32" s="81"/>
      <c r="L32" s="760"/>
      <c r="M32" s="81"/>
      <c r="N32" s="81"/>
      <c r="O32" s="81"/>
      <c r="S32" s="1257" t="s">
        <v>38</v>
      </c>
      <c r="T32" s="1257"/>
      <c r="U32" s="763"/>
      <c r="V32" s="1258" t="str">
        <f>IF(TITLE_IST_PUB_CHANGE="",IF(TITLE_IST_PUB="","",TITLE_IST_PUB),TITLE_IST_PUB_CHANGE)</f>
        <v/>
      </c>
      <c r="W32" s="1258"/>
      <c r="X32" s="1258"/>
      <c r="Y32" s="1258"/>
      <c r="Z32" s="1258"/>
      <c r="AA32" s="1258"/>
      <c r="AB32" s="1258"/>
      <c r="AC32" s="12"/>
      <c r="AD32" s="1258" t="str">
        <f>IF(TITLE_IST_PUB_CHANGE="",IF(TITLE_IST_PUB="","",TITLE_IST_PUB),TITLE_IST_PUB_CHANGE)</f>
        <v/>
      </c>
      <c r="AE32" s="1258"/>
      <c r="AF32" s="1258"/>
      <c r="AG32" s="1258"/>
      <c r="AH32" s="1258"/>
      <c r="AI32" s="1258"/>
      <c r="AJ32" s="1258"/>
      <c r="AK32" s="12"/>
      <c r="AL32" s="12"/>
      <c r="AM32" s="161"/>
      <c r="AN32" s="69"/>
      <c r="AO32" s="69"/>
      <c r="AP32" s="69"/>
      <c r="AQ32" s="69"/>
      <c r="AR32" s="69"/>
    </row>
    <row r="33" spans="1:44" ht="14.25" hidden="1" customHeight="1">
      <c r="Q33" s="29"/>
      <c r="R33" s="29"/>
      <c r="S33" s="729"/>
      <c r="T33" s="11"/>
      <c r="U33" s="11"/>
      <c r="V33" s="187"/>
      <c r="W33" s="187"/>
      <c r="X33" s="187"/>
      <c r="Y33" s="187"/>
      <c r="Z33" s="187"/>
      <c r="AA33" s="187"/>
      <c r="AB33" s="187"/>
      <c r="AC33" s="187"/>
      <c r="AD33" s="187"/>
      <c r="AE33" s="187"/>
      <c r="AF33" s="187"/>
      <c r="AG33" s="187"/>
      <c r="AH33" s="187"/>
      <c r="AI33" s="187"/>
      <c r="AJ33" s="187"/>
      <c r="AK33" s="187"/>
    </row>
    <row r="34" spans="1:44" s="36" customFormat="1" ht="18.75" hidden="1" customHeight="1">
      <c r="A34" s="81"/>
      <c r="B34" s="81"/>
      <c r="C34" s="81"/>
      <c r="D34" s="81"/>
      <c r="E34" s="81"/>
      <c r="F34" s="81"/>
      <c r="G34" s="81"/>
      <c r="H34" s="81"/>
      <c r="I34" s="81"/>
      <c r="J34" s="81"/>
      <c r="K34" s="81"/>
      <c r="L34" s="760"/>
      <c r="M34" s="81"/>
      <c r="N34" s="81"/>
      <c r="O34" s="81"/>
      <c r="S34" s="1257" t="s">
        <v>424</v>
      </c>
      <c r="T34" s="1257"/>
      <c r="U34" s="763"/>
      <c r="V34" s="1267" t="str">
        <f>IF(TITLE_DATE_PR_CHANGE="",IF(TITLE_DATE_PR="","",TITLE_DATE_PR),TITLE_DATE_PR_CHANGE)</f>
        <v/>
      </c>
      <c r="W34" s="1267"/>
      <c r="X34" s="1267"/>
      <c r="Y34" s="1267"/>
      <c r="Z34" s="1267"/>
      <c r="AA34" s="1267"/>
      <c r="AB34" s="1267"/>
      <c r="AC34" s="12"/>
      <c r="AD34" s="1267" t="str">
        <f>IF(TITLE_DATE_PR_CHANGE="",IF(TITLE_DATE_PR="","",TITLE_DATE_PR),TITLE_DATE_PR_CHANGE)</f>
        <v/>
      </c>
      <c r="AE34" s="1267"/>
      <c r="AF34" s="1267"/>
      <c r="AG34" s="1267"/>
      <c r="AH34" s="1267"/>
      <c r="AI34" s="1267"/>
      <c r="AJ34" s="1267"/>
      <c r="AK34" s="12"/>
      <c r="AL34" s="12"/>
      <c r="AM34" s="161"/>
      <c r="AN34" s="69"/>
      <c r="AO34" s="69"/>
      <c r="AP34" s="69"/>
      <c r="AQ34" s="69"/>
      <c r="AR34" s="69"/>
    </row>
    <row r="35" spans="1:44" s="36" customFormat="1" ht="25.5" hidden="1" customHeight="1">
      <c r="A35" s="81"/>
      <c r="B35" s="81"/>
      <c r="C35" s="81"/>
      <c r="D35" s="81"/>
      <c r="E35" s="81"/>
      <c r="F35" s="81"/>
      <c r="G35" s="81"/>
      <c r="H35" s="81"/>
      <c r="I35" s="81"/>
      <c r="J35" s="81"/>
      <c r="K35" s="81"/>
      <c r="L35" s="760"/>
      <c r="M35" s="81"/>
      <c r="N35" s="81"/>
      <c r="O35" s="81"/>
      <c r="S35" s="1257" t="s">
        <v>425</v>
      </c>
      <c r="T35" s="1257"/>
      <c r="U35" s="763"/>
      <c r="V35" s="1258" t="str">
        <f>IF(TITLE_NUMBER_PR_CHANGE="",IF(TITLE_NUMBER_PR="","",TITLE_NUMBER_PR),TITLE_NUMBER_PR_CHANGE)</f>
        <v/>
      </c>
      <c r="W35" s="1258"/>
      <c r="X35" s="1258"/>
      <c r="Y35" s="1258"/>
      <c r="Z35" s="1258"/>
      <c r="AA35" s="1258"/>
      <c r="AB35" s="1258"/>
      <c r="AC35" s="12"/>
      <c r="AD35" s="1258" t="str">
        <f>IF(TITLE_NUMBER_PR_CHANGE="",IF(TITLE_NUMBER_PR="","",TITLE_NUMBER_PR),TITLE_NUMBER_PR_CHANGE)</f>
        <v/>
      </c>
      <c r="AE35" s="1258"/>
      <c r="AF35" s="1258"/>
      <c r="AG35" s="1258"/>
      <c r="AH35" s="1258"/>
      <c r="AI35" s="1258"/>
      <c r="AJ35" s="1258"/>
      <c r="AK35" s="12"/>
      <c r="AL35" s="12"/>
      <c r="AM35" s="161"/>
      <c r="AN35" s="69"/>
      <c r="AO35" s="69"/>
      <c r="AP35" s="69"/>
      <c r="AQ35" s="69"/>
      <c r="AR35" s="69"/>
    </row>
    <row r="36" spans="1:44" s="36" customFormat="1" ht="0" hidden="1" customHeight="1">
      <c r="A36" s="81"/>
      <c r="B36" s="81"/>
      <c r="C36" s="81"/>
      <c r="D36" s="81"/>
      <c r="E36" s="81"/>
      <c r="F36" s="81"/>
      <c r="G36" s="81"/>
      <c r="H36" s="81"/>
      <c r="I36" s="81"/>
      <c r="J36" s="81"/>
      <c r="K36" s="81"/>
      <c r="L36" s="760"/>
      <c r="M36" s="81"/>
      <c r="N36" s="81"/>
      <c r="O36" s="81"/>
      <c r="S36" s="12"/>
      <c r="T36" s="12"/>
      <c r="U36" s="77"/>
      <c r="V36" s="12"/>
      <c r="W36" s="12"/>
      <c r="X36" s="12"/>
      <c r="Y36" s="12"/>
      <c r="Z36" s="12"/>
      <c r="AA36" s="12"/>
      <c r="AB36" s="12"/>
      <c r="AC36" s="68" t="s">
        <v>426</v>
      </c>
      <c r="AD36" s="12"/>
      <c r="AE36" s="12"/>
      <c r="AF36" s="12"/>
      <c r="AG36" s="12"/>
      <c r="AH36" s="12"/>
      <c r="AI36" s="12"/>
      <c r="AJ36" s="12"/>
      <c r="AK36" s="68" t="s">
        <v>426</v>
      </c>
      <c r="AN36" s="69"/>
      <c r="AO36" s="69"/>
      <c r="AP36" s="69"/>
      <c r="AQ36" s="69"/>
      <c r="AR36" s="69"/>
    </row>
    <row r="37" spans="1:44" ht="14.25" customHeight="1">
      <c r="Q37" s="29"/>
      <c r="R37" s="29"/>
      <c r="S37" s="729"/>
      <c r="T37" s="11"/>
      <c r="U37" s="709"/>
      <c r="V37" s="1259"/>
      <c r="W37" s="1259"/>
      <c r="X37" s="1259"/>
      <c r="Y37" s="1259"/>
      <c r="Z37" s="1259"/>
      <c r="AA37" s="1259"/>
      <c r="AB37" s="1259"/>
      <c r="AC37" s="1259"/>
      <c r="AD37" s="1259"/>
      <c r="AE37" s="1259"/>
      <c r="AF37" s="1259"/>
      <c r="AG37" s="1259"/>
      <c r="AH37" s="1259"/>
      <c r="AI37" s="1259"/>
      <c r="AJ37" s="1259"/>
      <c r="AK37" s="1259"/>
    </row>
    <row r="38" spans="1:44" ht="14.25" customHeight="1">
      <c r="Q38" s="29"/>
      <c r="R38" s="29"/>
      <c r="S38" s="1146" t="s">
        <v>299</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300</v>
      </c>
    </row>
    <row r="39" spans="1:44" ht="14.25" customHeight="1">
      <c r="Q39" s="29"/>
      <c r="R39" s="29"/>
      <c r="S39" s="1273" t="s">
        <v>84</v>
      </c>
      <c r="T39" s="1224" t="s">
        <v>427</v>
      </c>
      <c r="U39" s="170"/>
      <c r="V39" s="1274" t="s">
        <v>428</v>
      </c>
      <c r="W39" s="1275"/>
      <c r="X39" s="1275"/>
      <c r="Y39" s="1275"/>
      <c r="Z39" s="1275"/>
      <c r="AA39" s="1275"/>
      <c r="AB39" s="1276"/>
      <c r="AC39" s="1277" t="s">
        <v>429</v>
      </c>
      <c r="AD39" s="1274" t="s">
        <v>428</v>
      </c>
      <c r="AE39" s="1275"/>
      <c r="AF39" s="1275"/>
      <c r="AG39" s="1275"/>
      <c r="AH39" s="1275"/>
      <c r="AI39" s="1275"/>
      <c r="AJ39" s="1276"/>
      <c r="AK39" s="1277" t="s">
        <v>430</v>
      </c>
      <c r="AL39" s="1280" t="s">
        <v>431</v>
      </c>
      <c r="AM39" s="1146"/>
    </row>
    <row r="40" spans="1:44" ht="33.75" customHeight="1">
      <c r="Q40" s="29"/>
      <c r="R40" s="29"/>
      <c r="S40" s="1273"/>
      <c r="T40" s="1224"/>
      <c r="U40" s="595"/>
      <c r="V40" s="1193" t="s">
        <v>432</v>
      </c>
      <c r="W40" s="1283"/>
      <c r="X40" s="1117" t="s">
        <v>434</v>
      </c>
      <c r="Y40" s="1116"/>
      <c r="Z40" s="1117" t="s">
        <v>435</v>
      </c>
      <c r="AA40" s="1122"/>
      <c r="AB40" s="1116"/>
      <c r="AC40" s="1278"/>
      <c r="AD40" s="1193" t="s">
        <v>449</v>
      </c>
      <c r="AE40" s="1283"/>
      <c r="AF40" s="1117" t="s">
        <v>434</v>
      </c>
      <c r="AG40" s="1116"/>
      <c r="AH40" s="1117" t="s">
        <v>435</v>
      </c>
      <c r="AI40" s="1122"/>
      <c r="AJ40" s="1116"/>
      <c r="AK40" s="1278"/>
      <c r="AL40" s="1281"/>
      <c r="AM40" s="1146"/>
    </row>
    <row r="41" spans="1:44" ht="33.75" customHeight="1">
      <c r="A41" s="81"/>
      <c r="B41" s="81" t="s">
        <v>136</v>
      </c>
      <c r="C41" s="81" t="s">
        <v>137</v>
      </c>
      <c r="D41" s="81" t="s">
        <v>138</v>
      </c>
      <c r="E41" s="760" t="s">
        <v>436</v>
      </c>
      <c r="F41" s="760" t="s">
        <v>437</v>
      </c>
      <c r="G41" s="760" t="s">
        <v>438</v>
      </c>
      <c r="H41" s="760" t="s">
        <v>439</v>
      </c>
      <c r="I41" s="760" t="s">
        <v>440</v>
      </c>
      <c r="J41" s="760" t="s">
        <v>441</v>
      </c>
      <c r="K41" s="760" t="s">
        <v>442</v>
      </c>
      <c r="L41" s="760" t="s">
        <v>417</v>
      </c>
      <c r="Q41" s="29"/>
      <c r="R41" s="29"/>
      <c r="S41" s="1273"/>
      <c r="T41" s="1224"/>
      <c r="U41" s="171"/>
      <c r="V41" s="1244"/>
      <c r="W41" s="1284"/>
      <c r="X41" s="40" t="s">
        <v>443</v>
      </c>
      <c r="Y41" s="40" t="s">
        <v>444</v>
      </c>
      <c r="Z41" s="40" t="s">
        <v>445</v>
      </c>
      <c r="AA41" s="1233" t="s">
        <v>446</v>
      </c>
      <c r="AB41" s="1235"/>
      <c r="AC41" s="1279"/>
      <c r="AD41" s="1244"/>
      <c r="AE41" s="1284"/>
      <c r="AF41" s="40" t="s">
        <v>443</v>
      </c>
      <c r="AG41" s="40" t="s">
        <v>444</v>
      </c>
      <c r="AH41" s="40" t="s">
        <v>445</v>
      </c>
      <c r="AI41" s="1233" t="s">
        <v>446</v>
      </c>
      <c r="AJ41" s="1235"/>
      <c r="AK41" s="1279"/>
      <c r="AL41" s="1282"/>
      <c r="AM41" s="1146"/>
    </row>
    <row r="42" spans="1:44" s="201" customFormat="1" ht="11.25" hidden="1" customHeight="1">
      <c r="A42" s="81"/>
      <c r="B42" s="81"/>
      <c r="C42" s="81"/>
      <c r="D42" s="81"/>
      <c r="E42" s="81"/>
      <c r="F42" s="81"/>
      <c r="G42" s="81"/>
      <c r="H42" s="81"/>
      <c r="I42" s="81"/>
      <c r="J42" s="81"/>
      <c r="K42" s="81"/>
      <c r="L42" s="760"/>
      <c r="M42" s="497"/>
      <c r="N42" s="497"/>
      <c r="O42" s="497"/>
      <c r="P42" s="711"/>
      <c r="Q42" s="712"/>
      <c r="R42" s="714">
        <v>1</v>
      </c>
      <c r="S42" s="731" t="s">
        <v>105</v>
      </c>
      <c r="T42" s="715" t="s">
        <v>106</v>
      </c>
      <c r="U42" s="710" t="str">
        <f ca="1">OFFSET(U42,0,-1)</f>
        <v>2</v>
      </c>
      <c r="V42" s="716">
        <f ca="1">OFFSET(V42,0,-1)+1</f>
        <v>3</v>
      </c>
      <c r="W42" s="716"/>
      <c r="X42" s="716">
        <f ca="1">OFFSET(X42,0,-1)+1</f>
        <v>1</v>
      </c>
      <c r="Y42" s="716">
        <f ca="1">OFFSET(Y42,0,-1)+1</f>
        <v>2</v>
      </c>
      <c r="Z42" s="716">
        <f ca="1">OFFSET(Z42,0,-1)+1</f>
        <v>3</v>
      </c>
      <c r="AA42" s="1272">
        <f ca="1">OFFSET(AA42,0,-1)+1</f>
        <v>4</v>
      </c>
      <c r="AB42" s="1272"/>
      <c r="AC42" s="716">
        <f ca="1">OFFSET(AC42,0,-2)+1</f>
        <v>5</v>
      </c>
      <c r="AD42" s="716">
        <f ca="1">OFFSET(AD42,0,-1)+1</f>
        <v>6</v>
      </c>
      <c r="AE42" s="716"/>
      <c r="AF42" s="716">
        <f ca="1">OFFSET(AF42,0,-1)+1</f>
        <v>1</v>
      </c>
      <c r="AG42" s="716">
        <f ca="1">OFFSET(AG42,0,-1)+1</f>
        <v>2</v>
      </c>
      <c r="AH42" s="716">
        <f ca="1">OFFSET(AH42,0,-1)+1</f>
        <v>3</v>
      </c>
      <c r="AI42" s="1272">
        <f ca="1">OFFSET(AI42,0,-1)+1</f>
        <v>4</v>
      </c>
      <c r="AJ42" s="1272"/>
      <c r="AK42" s="716">
        <f ca="1">OFFSET(AK42,0,-2)+1</f>
        <v>5</v>
      </c>
      <c r="AL42" s="710">
        <f ca="1">OFFSET(AL42,0,-1)</f>
        <v>5</v>
      </c>
      <c r="AM42" s="716">
        <f ca="1">OFFSET(AM42,0,-1)+1</f>
        <v>6</v>
      </c>
      <c r="AN42" s="68"/>
      <c r="AO42" s="68"/>
      <c r="AP42" s="68"/>
      <c r="AQ42" s="68"/>
      <c r="AR42" s="68"/>
    </row>
    <row r="43" spans="1:44" ht="21" customHeight="1">
      <c r="A43" s="759" t="s">
        <v>187</v>
      </c>
      <c r="B43" s="759"/>
      <c r="C43" s="759"/>
      <c r="D43" s="759"/>
      <c r="E43" s="1265">
        <v>1</v>
      </c>
      <c r="F43" s="759"/>
      <c r="G43" s="759"/>
      <c r="H43" s="759"/>
      <c r="I43" s="759"/>
      <c r="J43" s="759"/>
      <c r="K43" s="759"/>
      <c r="L43" s="760"/>
      <c r="M43" s="417"/>
      <c r="N43" s="417"/>
      <c r="O43" s="417"/>
      <c r="Q43" s="35"/>
      <c r="R43" s="205"/>
      <c r="S43" s="698">
        <f>INDEX(PT_DIFFERENTIATION_NUM_NTAR,MATCH(A43,PT_DIFFERENTIATION_NTAR_ID,0))</f>
        <v>0</v>
      </c>
      <c r="T43" s="67" t="s">
        <v>124</v>
      </c>
      <c r="U43" s="169"/>
      <c r="V43" s="1251"/>
      <c r="W43" s="1252"/>
      <c r="X43" s="1252"/>
      <c r="Y43" s="1252"/>
      <c r="Z43" s="1252"/>
      <c r="AA43" s="1252"/>
      <c r="AB43" s="1252"/>
      <c r="AC43" s="1253"/>
      <c r="AD43" s="1251" t="str">
        <f>INDEX(PT_DIFFERENTIATION_NTAR,MATCH(A43,PT_DIFFERENTIATION_NTAR_ID,0))</f>
        <v/>
      </c>
      <c r="AE43" s="1252"/>
      <c r="AF43" s="1252"/>
      <c r="AG43" s="1252"/>
      <c r="AH43" s="1252"/>
      <c r="AI43" s="1252"/>
      <c r="AJ43" s="1252"/>
      <c r="AK43" s="1252"/>
      <c r="AL43" s="1253"/>
      <c r="AM43" s="71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row>
    <row r="44" spans="1:44" ht="21" customHeight="1">
      <c r="A44" s="759" t="s">
        <v>187</v>
      </c>
      <c r="B44" s="759" t="s">
        <v>188</v>
      </c>
      <c r="C44" s="759"/>
      <c r="D44" s="759"/>
      <c r="E44" s="1266"/>
      <c r="F44" s="1265">
        <v>1</v>
      </c>
      <c r="G44" s="759"/>
      <c r="H44" s="759"/>
      <c r="I44" s="759"/>
      <c r="J44" s="759"/>
      <c r="K44" s="759"/>
      <c r="L44" s="760"/>
      <c r="M44" s="417"/>
      <c r="N44" s="417"/>
      <c r="O44" s="417"/>
      <c r="P44" s="59"/>
      <c r="Q44" s="202"/>
      <c r="R44" s="203"/>
      <c r="S44" s="698" t="str">
        <f>INDEX(PT_DIFFERENTIATION_NUM_TER,MATCH(B44,PT_DIFFERENTIATION_TER_ID,0))</f>
        <v>.</v>
      </c>
      <c r="T44" s="175" t="s">
        <v>396</v>
      </c>
      <c r="U44" s="169"/>
      <c r="V44" s="1251"/>
      <c r="W44" s="1252"/>
      <c r="X44" s="1252"/>
      <c r="Y44" s="1252"/>
      <c r="Z44" s="1252"/>
      <c r="AA44" s="1252"/>
      <c r="AB44" s="1252"/>
      <c r="AC44" s="1253"/>
      <c r="AD44" s="1251" t="str">
        <f>INDEX(PT_DIFFERENTIATION_TER,MATCH(B44,PT_DIFFERENTIATION_TER_ID,0))</f>
        <v/>
      </c>
      <c r="AE44" s="1252"/>
      <c r="AF44" s="1252"/>
      <c r="AG44" s="1252"/>
      <c r="AH44" s="1252"/>
      <c r="AI44" s="1252"/>
      <c r="AJ44" s="1252"/>
      <c r="AK44" s="1252"/>
      <c r="AL44" s="1253"/>
      <c r="AM44" s="718" t="s">
        <v>397</v>
      </c>
      <c r="AO44" s="69"/>
      <c r="AP44" s="69" t="str">
        <f t="shared" si="1"/>
        <v>Территория действия тарифа</v>
      </c>
      <c r="AQ44" s="69"/>
      <c r="AR44" s="69"/>
    </row>
    <row r="45" spans="1:44" ht="23.25" customHeight="1">
      <c r="A45" s="759" t="s">
        <v>187</v>
      </c>
      <c r="B45" s="759" t="s">
        <v>188</v>
      </c>
      <c r="C45" s="759" t="s">
        <v>189</v>
      </c>
      <c r="D45" s="759"/>
      <c r="E45" s="1266"/>
      <c r="F45" s="1266"/>
      <c r="G45" s="1265">
        <v>1</v>
      </c>
      <c r="H45" s="759"/>
      <c r="I45" s="759"/>
      <c r="J45" s="759"/>
      <c r="K45" s="759"/>
      <c r="L45" s="760"/>
      <c r="M45" s="417"/>
      <c r="N45" s="417"/>
      <c r="O45" s="417"/>
      <c r="P45" s="204"/>
      <c r="Q45" s="202"/>
      <c r="R45" s="203"/>
      <c r="S45" s="698" t="str">
        <f>INDEX(PT_DIFFERENTIATION_NUM_CS,MATCH(C45,PT_DIFFERENTIATION_CS_ID,0))</f>
        <v>..</v>
      </c>
      <c r="T45" s="176" t="s">
        <v>398</v>
      </c>
      <c r="U45" s="169"/>
      <c r="V45" s="1251"/>
      <c r="W45" s="1252"/>
      <c r="X45" s="1252"/>
      <c r="Y45" s="1252"/>
      <c r="Z45" s="1252"/>
      <c r="AA45" s="1252"/>
      <c r="AB45" s="1252"/>
      <c r="AC45" s="1253"/>
      <c r="AD45" s="1251" t="str">
        <f>INDEX(PT_DIFFERENTIATION_CS,MATCH(C45,PT_DIFFERENTIATION_CS_ID,0))</f>
        <v/>
      </c>
      <c r="AE45" s="1252"/>
      <c r="AF45" s="1252"/>
      <c r="AG45" s="1252"/>
      <c r="AH45" s="1252"/>
      <c r="AI45" s="1252"/>
      <c r="AJ45" s="1252"/>
      <c r="AK45" s="1252"/>
      <c r="AL45" s="1253"/>
      <c r="AM45" s="718" t="s">
        <v>399</v>
      </c>
      <c r="AO45" s="69"/>
      <c r="AP45" s="69" t="str">
        <f t="shared" si="1"/>
        <v xml:space="preserve">Наименование системы теплоснабжения </v>
      </c>
      <c r="AQ45" s="69"/>
      <c r="AR45" s="69"/>
    </row>
    <row r="46" spans="1:44" ht="21" customHeight="1">
      <c r="A46" s="759" t="s">
        <v>187</v>
      </c>
      <c r="B46" s="759" t="s">
        <v>188</v>
      </c>
      <c r="C46" s="759" t="s">
        <v>189</v>
      </c>
      <c r="D46" s="759" t="s">
        <v>190</v>
      </c>
      <c r="E46" s="1266"/>
      <c r="F46" s="1266"/>
      <c r="G46" s="1266"/>
      <c r="H46" s="1265">
        <v>1</v>
      </c>
      <c r="I46" s="759"/>
      <c r="J46" s="759"/>
      <c r="K46" s="759"/>
      <c r="L46" s="760"/>
      <c r="M46" s="417"/>
      <c r="N46" s="417"/>
      <c r="O46" s="417"/>
      <c r="P46" s="204"/>
      <c r="Q46" s="202"/>
      <c r="R46" s="203"/>
      <c r="S46" s="698" t="str">
        <f>INDEX(PT_DIFFERENTIATION_NUM_IST_TE,MATCH(D46,PT_DIFFERENTIATION_IST_TE_ID,0))</f>
        <v>...</v>
      </c>
      <c r="T46" s="177" t="s">
        <v>400</v>
      </c>
      <c r="U46" s="169"/>
      <c r="V46" s="1251"/>
      <c r="W46" s="1252"/>
      <c r="X46" s="1252"/>
      <c r="Y46" s="1252"/>
      <c r="Z46" s="1252"/>
      <c r="AA46" s="1252"/>
      <c r="AB46" s="1252"/>
      <c r="AC46" s="1253"/>
      <c r="AD46" s="1251" t="str">
        <f>INDEX(PT_DIFFERENTIATION_IST_TE,MATCH(D46,PT_DIFFERENTIATION_IST_TE_ID,0))</f>
        <v/>
      </c>
      <c r="AE46" s="1252"/>
      <c r="AF46" s="1252"/>
      <c r="AG46" s="1252"/>
      <c r="AH46" s="1252"/>
      <c r="AI46" s="1252"/>
      <c r="AJ46" s="1252"/>
      <c r="AK46" s="1252"/>
      <c r="AL46" s="1253"/>
      <c r="AM46" s="718" t="s">
        <v>401</v>
      </c>
      <c r="AO46" s="69"/>
      <c r="AP46" s="69" t="str">
        <f t="shared" si="1"/>
        <v xml:space="preserve">Источник тепловой энергии  </v>
      </c>
      <c r="AQ46" s="69"/>
      <c r="AR46" s="69"/>
    </row>
    <row r="47" spans="1:44" s="68" customFormat="1" ht="0" hidden="1" customHeight="1">
      <c r="A47" s="143" t="s">
        <v>187</v>
      </c>
      <c r="B47" s="143" t="s">
        <v>188</v>
      </c>
      <c r="C47" s="143" t="s">
        <v>189</v>
      </c>
      <c r="D47" s="143" t="s">
        <v>190</v>
      </c>
      <c r="E47" s="1266"/>
      <c r="F47" s="1266"/>
      <c r="G47" s="1266"/>
      <c r="H47" s="1266"/>
      <c r="I47" s="1263" t="str">
        <f>S46&amp;".1"</f>
        <v>....1</v>
      </c>
      <c r="J47" s="143"/>
      <c r="K47" s="143"/>
      <c r="L47" s="338" t="s">
        <v>402</v>
      </c>
      <c r="M47" s="288"/>
      <c r="N47" s="288"/>
      <c r="O47" s="288"/>
      <c r="P47" s="1264">
        <v>1</v>
      </c>
      <c r="Q47" s="120"/>
      <c r="R47" s="206"/>
      <c r="S47" s="353"/>
      <c r="T47" s="769"/>
      <c r="U47" s="770"/>
      <c r="V47" s="1294"/>
      <c r="W47" s="1295"/>
      <c r="X47" s="1295"/>
      <c r="Y47" s="1295"/>
      <c r="Z47" s="1295"/>
      <c r="AA47" s="1295"/>
      <c r="AB47" s="1295"/>
      <c r="AC47" s="1296"/>
      <c r="AD47" s="1294"/>
      <c r="AE47" s="1295"/>
      <c r="AF47" s="1295"/>
      <c r="AG47" s="1295"/>
      <c r="AH47" s="1295"/>
      <c r="AI47" s="1295"/>
      <c r="AJ47" s="1295"/>
      <c r="AK47" s="1295"/>
      <c r="AL47" s="1296"/>
      <c r="AM47" s="771"/>
      <c r="AO47" s="69"/>
      <c r="AP47" s="69" t="str">
        <f t="shared" si="1"/>
        <v/>
      </c>
      <c r="AQ47" s="69"/>
      <c r="AR47" s="69"/>
    </row>
    <row r="48" spans="1:44" ht="21" customHeight="1">
      <c r="A48" s="759" t="s">
        <v>187</v>
      </c>
      <c r="B48" s="759" t="s">
        <v>188</v>
      </c>
      <c r="C48" s="759" t="s">
        <v>189</v>
      </c>
      <c r="D48" s="759" t="s">
        <v>190</v>
      </c>
      <c r="E48" s="1266"/>
      <c r="F48" s="1266"/>
      <c r="G48" s="1266"/>
      <c r="H48" s="1266"/>
      <c r="I48" s="1286"/>
      <c r="J48" s="1263" t="str">
        <f>S46&amp;".1"</f>
        <v>....1</v>
      </c>
      <c r="K48" s="759"/>
      <c r="L48" s="760" t="s">
        <v>405</v>
      </c>
      <c r="P48" s="1264"/>
      <c r="Q48" s="1264">
        <v>1</v>
      </c>
      <c r="R48" s="207"/>
      <c r="S48" s="698" t="str">
        <f>$J48</f>
        <v>....1</v>
      </c>
      <c r="T48" s="163" t="s">
        <v>406</v>
      </c>
      <c r="U48" s="169"/>
      <c r="V48" s="1254"/>
      <c r="W48" s="1255"/>
      <c r="X48" s="1255"/>
      <c r="Y48" s="1255"/>
      <c r="Z48" s="1255"/>
      <c r="AA48" s="1255"/>
      <c r="AB48" s="1255"/>
      <c r="AC48" s="1256"/>
      <c r="AD48" s="1254"/>
      <c r="AE48" s="1255"/>
      <c r="AF48" s="1255"/>
      <c r="AG48" s="1255"/>
      <c r="AH48" s="1255"/>
      <c r="AI48" s="1255"/>
      <c r="AJ48" s="1255"/>
      <c r="AK48" s="1255"/>
      <c r="AL48" s="1256"/>
      <c r="AM48" s="718" t="s">
        <v>407</v>
      </c>
      <c r="AO48" s="69"/>
      <c r="AP48" s="69" t="str">
        <f t="shared" si="1"/>
        <v>Группа потребителей</v>
      </c>
      <c r="AQ48" s="69"/>
      <c r="AR48" s="69"/>
    </row>
    <row r="49" spans="1:44" ht="21" customHeight="1">
      <c r="A49" s="759" t="s">
        <v>187</v>
      </c>
      <c r="B49" s="759" t="s">
        <v>188</v>
      </c>
      <c r="C49" s="759" t="s">
        <v>189</v>
      </c>
      <c r="D49" s="759" t="s">
        <v>190</v>
      </c>
      <c r="E49" s="1266"/>
      <c r="F49" s="1266"/>
      <c r="G49" s="1266"/>
      <c r="H49" s="1266"/>
      <c r="I49" s="1286"/>
      <c r="J49" s="1286"/>
      <c r="K49" s="1263" t="str">
        <f>J48&amp;".1"</f>
        <v>....1.1</v>
      </c>
      <c r="L49" s="760" t="s">
        <v>408</v>
      </c>
      <c r="P49" s="1264"/>
      <c r="Q49" s="1264"/>
      <c r="R49" s="207">
        <v>1</v>
      </c>
      <c r="S49" s="698" t="str">
        <f>$K49</f>
        <v>....1.1</v>
      </c>
      <c r="T49" s="755"/>
      <c r="U49" s="169"/>
      <c r="V49" s="304"/>
      <c r="W49" s="189"/>
      <c r="X49" s="304"/>
      <c r="Y49" s="717"/>
      <c r="Z49" s="1268"/>
      <c r="AA49" s="1127" t="s">
        <v>62</v>
      </c>
      <c r="AB49" s="1268"/>
      <c r="AC49" s="1127" t="s">
        <v>62</v>
      </c>
      <c r="AD49" s="304"/>
      <c r="AE49" s="189"/>
      <c r="AF49" s="304"/>
      <c r="AG49" s="717"/>
      <c r="AH49" s="1268"/>
      <c r="AI49" s="1127" t="s">
        <v>62</v>
      </c>
      <c r="AJ49" s="1287"/>
      <c r="AK49" s="1127" t="s">
        <v>62</v>
      </c>
      <c r="AL49" s="756"/>
      <c r="AM49" s="1260" t="s">
        <v>450</v>
      </c>
      <c r="AN49" s="68" t="e">
        <f ca="1">STRCHECKDATE(V50:AL50)</f>
        <v>#NAME?</v>
      </c>
      <c r="AO49" s="69"/>
      <c r="AP49" s="69" t="str">
        <f t="shared" si="1"/>
        <v/>
      </c>
      <c r="AQ49" s="69"/>
      <c r="AR49" s="69"/>
    </row>
    <row r="50" spans="1:44" ht="0" hidden="1" customHeight="1">
      <c r="A50" s="759" t="s">
        <v>187</v>
      </c>
      <c r="B50" s="759" t="s">
        <v>188</v>
      </c>
      <c r="C50" s="759" t="s">
        <v>189</v>
      </c>
      <c r="D50" s="759" t="s">
        <v>190</v>
      </c>
      <c r="E50" s="1266"/>
      <c r="F50" s="1266"/>
      <c r="G50" s="1266"/>
      <c r="H50" s="1266"/>
      <c r="I50" s="1286"/>
      <c r="J50" s="1286"/>
      <c r="K50" s="1263"/>
      <c r="L50" s="760"/>
      <c r="P50" s="1264"/>
      <c r="Q50" s="1264"/>
      <c r="R50" s="207"/>
      <c r="S50" s="65"/>
      <c r="T50" s="169"/>
      <c r="U50" s="169"/>
      <c r="V50" s="189"/>
      <c r="W50" s="189"/>
      <c r="X50" s="189"/>
      <c r="Y50" s="190" t="str">
        <f>Z49&amp;"-"&amp;AB49</f>
        <v>-</v>
      </c>
      <c r="Z50" s="1269"/>
      <c r="AA50" s="1127"/>
      <c r="AB50" s="1269"/>
      <c r="AC50" s="1127"/>
      <c r="AD50" s="189"/>
      <c r="AE50" s="189"/>
      <c r="AF50" s="189"/>
      <c r="AG50" s="190" t="str">
        <f>AH49&amp;"-"&amp;AJ49</f>
        <v>-</v>
      </c>
      <c r="AH50" s="1269"/>
      <c r="AI50" s="1127"/>
      <c r="AJ50" s="1288"/>
      <c r="AK50" s="1127"/>
      <c r="AL50" s="757"/>
      <c r="AM50" s="1261"/>
      <c r="AO50" s="69"/>
      <c r="AP50" s="69" t="str">
        <f t="shared" si="1"/>
        <v/>
      </c>
      <c r="AQ50" s="69"/>
      <c r="AR50" s="69"/>
    </row>
    <row r="51" spans="1:44" ht="11.25" customHeight="1">
      <c r="A51" s="759" t="s">
        <v>187</v>
      </c>
      <c r="B51" s="759" t="s">
        <v>188</v>
      </c>
      <c r="C51" s="759" t="s">
        <v>189</v>
      </c>
      <c r="D51" s="759" t="s">
        <v>190</v>
      </c>
      <c r="E51" s="1266"/>
      <c r="F51" s="1266"/>
      <c r="G51" s="1266"/>
      <c r="H51" s="1266"/>
      <c r="I51" s="1286"/>
      <c r="J51" s="1263"/>
      <c r="K51" s="759"/>
      <c r="L51" s="760"/>
      <c r="P51" s="1264"/>
      <c r="Q51" s="1264"/>
      <c r="R51" s="206"/>
      <c r="S51" s="732"/>
      <c r="T51" s="164" t="s">
        <v>410</v>
      </c>
      <c r="U51" s="211"/>
      <c r="V51" s="211"/>
      <c r="W51" s="211"/>
      <c r="X51" s="211"/>
      <c r="Y51" s="211"/>
      <c r="Z51" s="211"/>
      <c r="AA51" s="211"/>
      <c r="AB51" s="211"/>
      <c r="AC51" s="211"/>
      <c r="AD51" s="211"/>
      <c r="AE51" s="211"/>
      <c r="AF51" s="211"/>
      <c r="AG51" s="211"/>
      <c r="AH51" s="211"/>
      <c r="AI51" s="211"/>
      <c r="AJ51" s="211"/>
      <c r="AK51" s="211"/>
      <c r="AL51" s="188"/>
      <c r="AM51" s="1262"/>
      <c r="AO51" s="69"/>
      <c r="AP51" s="69" t="str">
        <f t="shared" si="1"/>
        <v>Добавить вид теплоносителя (параметры теплоносителя)</v>
      </c>
      <c r="AQ51" s="69"/>
      <c r="AR51" s="69"/>
    </row>
    <row r="52" spans="1:44" ht="11.25" customHeight="1">
      <c r="A52" s="759" t="s">
        <v>187</v>
      </c>
      <c r="B52" s="759" t="s">
        <v>188</v>
      </c>
      <c r="C52" s="759" t="s">
        <v>189</v>
      </c>
      <c r="D52" s="759" t="s">
        <v>190</v>
      </c>
      <c r="E52" s="1266"/>
      <c r="F52" s="1266"/>
      <c r="G52" s="1266"/>
      <c r="H52" s="1266"/>
      <c r="I52" s="1263"/>
      <c r="J52" s="759"/>
      <c r="K52" s="759"/>
      <c r="L52" s="760"/>
      <c r="P52" s="1264"/>
      <c r="Q52" s="120"/>
      <c r="R52" s="206"/>
      <c r="S52" s="732"/>
      <c r="T52" s="209" t="s">
        <v>411</v>
      </c>
      <c r="U52" s="211"/>
      <c r="V52" s="211"/>
      <c r="W52" s="211"/>
      <c r="X52" s="211"/>
      <c r="Y52" s="211"/>
      <c r="Z52" s="211"/>
      <c r="AA52" s="211"/>
      <c r="AB52" s="211"/>
      <c r="AC52" s="210"/>
      <c r="AD52" s="211"/>
      <c r="AE52" s="211"/>
      <c r="AF52" s="211"/>
      <c r="AG52" s="211"/>
      <c r="AH52" s="211"/>
      <c r="AI52" s="211"/>
      <c r="AJ52" s="211"/>
      <c r="AK52" s="210"/>
      <c r="AL52" s="211"/>
      <c r="AM52" s="172"/>
      <c r="AO52" s="69"/>
      <c r="AP52" s="69" t="str">
        <f t="shared" si="1"/>
        <v>Добавить группу потребителей</v>
      </c>
      <c r="AQ52" s="69"/>
      <c r="AR52" s="69"/>
    </row>
    <row r="53" spans="1:44" ht="0" hidden="1" customHeight="1">
      <c r="A53" s="759" t="s">
        <v>187</v>
      </c>
      <c r="B53" s="759" t="s">
        <v>188</v>
      </c>
      <c r="C53" s="759" t="s">
        <v>189</v>
      </c>
      <c r="D53" s="759" t="s">
        <v>190</v>
      </c>
      <c r="E53" s="1266"/>
      <c r="F53" s="1266"/>
      <c r="G53" s="1266"/>
      <c r="H53" s="1265"/>
      <c r="I53" s="759"/>
      <c r="J53" s="759"/>
      <c r="K53" s="759"/>
      <c r="L53" s="760"/>
      <c r="M53" s="417"/>
      <c r="N53" s="417"/>
      <c r="O53" s="63"/>
      <c r="P53" s="35"/>
      <c r="Q53" s="214"/>
      <c r="R53" s="205"/>
      <c r="S53" s="772"/>
      <c r="T53" s="773"/>
      <c r="U53" s="774"/>
      <c r="V53" s="774"/>
      <c r="W53" s="774"/>
      <c r="X53" s="774"/>
      <c r="Y53" s="774"/>
      <c r="Z53" s="774"/>
      <c r="AA53" s="774"/>
      <c r="AB53" s="774"/>
      <c r="AC53" s="774"/>
      <c r="AD53" s="774"/>
      <c r="AE53" s="774"/>
      <c r="AF53" s="774"/>
      <c r="AG53" s="774"/>
      <c r="AH53" s="774"/>
      <c r="AI53" s="774"/>
      <c r="AJ53" s="774"/>
      <c r="AK53" s="774"/>
      <c r="AL53" s="774"/>
      <c r="AM53" s="775"/>
      <c r="AO53" s="69"/>
      <c r="AP53" s="69" t="str">
        <f t="shared" si="1"/>
        <v/>
      </c>
      <c r="AQ53" s="69"/>
      <c r="AR53" s="69"/>
    </row>
    <row r="54" spans="1:44" s="68" customFormat="1" ht="0" hidden="1" customHeight="1">
      <c r="A54" s="143" t="s">
        <v>187</v>
      </c>
      <c r="B54" s="143" t="s">
        <v>188</v>
      </c>
      <c r="C54" s="143" t="s">
        <v>189</v>
      </c>
      <c r="D54" s="143"/>
      <c r="E54" s="1266"/>
      <c r="F54" s="1266"/>
      <c r="G54" s="1265"/>
      <c r="H54" s="143"/>
      <c r="I54" s="143"/>
      <c r="J54" s="143"/>
      <c r="K54" s="143"/>
      <c r="L54" s="338"/>
      <c r="M54" s="291"/>
      <c r="N54" s="291"/>
      <c r="P54" s="102"/>
      <c r="Q54" s="745"/>
      <c r="R54" s="102"/>
      <c r="S54" s="750"/>
      <c r="T54" s="752" t="s">
        <v>413</v>
      </c>
      <c r="U54" s="311"/>
      <c r="V54" s="311"/>
      <c r="W54" s="311"/>
      <c r="X54" s="311"/>
      <c r="Y54" s="311"/>
      <c r="Z54" s="311"/>
      <c r="AA54" s="311"/>
      <c r="AB54" s="311"/>
      <c r="AC54" s="311"/>
      <c r="AD54" s="311"/>
      <c r="AE54" s="311"/>
      <c r="AF54" s="311"/>
      <c r="AG54" s="311"/>
      <c r="AH54" s="311"/>
      <c r="AI54" s="311"/>
      <c r="AJ54" s="311"/>
      <c r="AK54" s="311"/>
      <c r="AL54" s="311"/>
      <c r="AM54" s="311"/>
      <c r="AO54" s="69"/>
      <c r="AP54" s="69" t="str">
        <f t="shared" si="1"/>
        <v>Добавить источник для дифференциации</v>
      </c>
      <c r="AQ54" s="69"/>
      <c r="AR54" s="69"/>
    </row>
    <row r="55" spans="1:44" s="68" customFormat="1" ht="0" hidden="1" customHeight="1">
      <c r="A55" s="143" t="s">
        <v>187</v>
      </c>
      <c r="B55" s="143" t="s">
        <v>188</v>
      </c>
      <c r="C55" s="143"/>
      <c r="D55" s="143"/>
      <c r="E55" s="1266"/>
      <c r="F55" s="1265"/>
      <c r="G55" s="143"/>
      <c r="H55" s="143"/>
      <c r="I55" s="143"/>
      <c r="J55" s="143"/>
      <c r="K55" s="143"/>
      <c r="L55" s="338"/>
      <c r="M55" s="749"/>
      <c r="N55" s="749"/>
      <c r="P55" s="102"/>
      <c r="Q55" s="745"/>
      <c r="R55" s="102"/>
      <c r="S55" s="750"/>
      <c r="T55" s="752" t="s">
        <v>414</v>
      </c>
      <c r="U55" s="311"/>
      <c r="V55" s="311"/>
      <c r="W55" s="311"/>
      <c r="X55" s="311"/>
      <c r="Y55" s="311"/>
      <c r="Z55" s="311"/>
      <c r="AA55" s="311"/>
      <c r="AB55" s="311"/>
      <c r="AC55" s="311"/>
      <c r="AD55" s="311"/>
      <c r="AE55" s="311"/>
      <c r="AF55" s="311"/>
      <c r="AG55" s="311"/>
      <c r="AH55" s="311"/>
      <c r="AI55" s="311"/>
      <c r="AJ55" s="311"/>
      <c r="AK55" s="311"/>
      <c r="AL55" s="311"/>
      <c r="AM55" s="311"/>
      <c r="AO55" s="69"/>
      <c r="AP55" s="69" t="str">
        <f t="shared" si="1"/>
        <v>Добавить централизованную систему для дифференциации</v>
      </c>
      <c r="AQ55" s="69"/>
      <c r="AR55" s="69"/>
    </row>
    <row r="56" spans="1:44" s="68" customFormat="1" ht="0" hidden="1" customHeight="1">
      <c r="A56" s="143" t="s">
        <v>187</v>
      </c>
      <c r="B56" s="143"/>
      <c r="C56" s="143"/>
      <c r="D56" s="143"/>
      <c r="E56" s="1265"/>
      <c r="F56" s="143"/>
      <c r="G56" s="143"/>
      <c r="H56" s="143"/>
      <c r="I56" s="143"/>
      <c r="J56" s="143"/>
      <c r="K56" s="143"/>
      <c r="L56" s="338"/>
      <c r="M56" s="749"/>
      <c r="N56" s="749"/>
      <c r="P56" s="102"/>
      <c r="Q56" s="745"/>
      <c r="R56" s="102"/>
      <c r="S56" s="750"/>
      <c r="T56" s="752" t="s">
        <v>415</v>
      </c>
      <c r="U56" s="311"/>
      <c r="V56" s="311"/>
      <c r="W56" s="311"/>
      <c r="X56" s="311"/>
      <c r="Y56" s="311"/>
      <c r="Z56" s="311"/>
      <c r="AA56" s="311"/>
      <c r="AB56" s="311"/>
      <c r="AC56" s="311"/>
      <c r="AD56" s="311"/>
      <c r="AE56" s="311"/>
      <c r="AF56" s="311"/>
      <c r="AG56" s="311"/>
      <c r="AH56" s="311"/>
      <c r="AI56" s="311"/>
      <c r="AJ56" s="311"/>
      <c r="AK56" s="311"/>
      <c r="AL56" s="311"/>
      <c r="AM56" s="311"/>
      <c r="AO56" s="69"/>
      <c r="AP56" s="69" t="str">
        <f t="shared" si="1"/>
        <v>Добавить территорию для дифференциации</v>
      </c>
      <c r="AQ56" s="69"/>
      <c r="AR56" s="69"/>
    </row>
    <row r="57" spans="1:44" s="68" customFormat="1" ht="5.25" customHeight="1">
      <c r="A57" s="143"/>
      <c r="B57" s="143"/>
      <c r="C57" s="143"/>
      <c r="D57" s="143"/>
      <c r="E57" s="143"/>
      <c r="F57" s="143"/>
      <c r="G57" s="143"/>
      <c r="H57" s="143"/>
      <c r="I57" s="143"/>
      <c r="J57" s="143"/>
      <c r="K57" s="143"/>
      <c r="L57" s="338"/>
      <c r="M57" s="749"/>
      <c r="N57" s="749"/>
      <c r="P57" s="102"/>
      <c r="Q57" s="745"/>
      <c r="R57" s="102"/>
      <c r="S57" s="750"/>
      <c r="T57" s="752" t="s">
        <v>447</v>
      </c>
      <c r="U57" s="311"/>
      <c r="V57" s="311"/>
      <c r="W57" s="311"/>
      <c r="X57" s="311"/>
      <c r="Y57" s="311"/>
      <c r="Z57" s="311"/>
      <c r="AA57" s="311"/>
      <c r="AB57" s="311"/>
      <c r="AC57" s="311"/>
      <c r="AD57" s="311"/>
      <c r="AE57" s="311"/>
      <c r="AF57" s="311"/>
      <c r="AG57" s="311"/>
      <c r="AH57" s="311"/>
      <c r="AI57" s="311"/>
      <c r="AJ57" s="311"/>
      <c r="AK57" s="311"/>
      <c r="AL57" s="311"/>
      <c r="AM57" s="311"/>
      <c r="AO57" s="69"/>
      <c r="AP57" s="69" t="str">
        <f t="shared" si="1"/>
        <v>Добавить наименование тарифа</v>
      </c>
      <c r="AQ57" s="69"/>
      <c r="AR57" s="69"/>
    </row>
    <row r="58" spans="1:44" ht="11.25" customHeight="1">
      <c r="M58" s="63"/>
      <c r="N58" s="63"/>
      <c r="O58" s="63"/>
      <c r="P58" s="12"/>
      <c r="Q58" s="12"/>
      <c r="R58" s="12"/>
      <c r="S58" s="12"/>
      <c r="AN58" s="12"/>
      <c r="AO58" s="12"/>
      <c r="AP58" s="12"/>
      <c r="AQ58" s="12"/>
      <c r="AR58" s="12"/>
    </row>
    <row r="59" spans="1:44" ht="14.25" customHeight="1">
      <c r="O59" s="63"/>
      <c r="S59" s="196"/>
      <c r="T59" s="1285"/>
      <c r="U59" s="1285"/>
      <c r="V59" s="1285"/>
      <c r="W59" s="1285"/>
      <c r="X59" s="1285"/>
      <c r="Y59" s="1285"/>
      <c r="Z59" s="1285"/>
      <c r="AA59" s="1285"/>
      <c r="AB59" s="1285"/>
      <c r="AC59" s="1285"/>
      <c r="AD59" s="1285"/>
      <c r="AE59" s="1285"/>
      <c r="AF59" s="1285"/>
      <c r="AG59" s="1285"/>
      <c r="AH59" s="1285"/>
      <c r="AI59" s="1285"/>
      <c r="AJ59" s="1285"/>
      <c r="AK59" s="1285"/>
      <c r="AL59" s="1285"/>
      <c r="AM59" s="1285"/>
    </row>
    <row r="60" spans="1:44" ht="14.25" customHeight="1">
      <c r="O60" s="63"/>
      <c r="T60" s="1285"/>
      <c r="U60" s="1285"/>
      <c r="V60" s="1285"/>
      <c r="W60" s="1285"/>
      <c r="X60" s="1285"/>
      <c r="Y60" s="1285"/>
      <c r="Z60" s="1285"/>
      <c r="AA60" s="1285"/>
      <c r="AB60" s="1285"/>
      <c r="AC60" s="1285"/>
      <c r="AD60" s="1285"/>
      <c r="AE60" s="1285"/>
      <c r="AF60" s="1285"/>
      <c r="AG60" s="1285"/>
      <c r="AH60" s="1285"/>
      <c r="AI60" s="1285"/>
      <c r="AJ60" s="1285"/>
      <c r="AK60" s="1285"/>
      <c r="AL60" s="1285"/>
      <c r="AM60" s="1285"/>
    </row>
    <row r="61" spans="1:44" ht="14.25" customHeight="1">
      <c r="O61" s="63"/>
      <c r="T61" s="1285"/>
      <c r="U61" s="1285"/>
      <c r="V61" s="1285"/>
      <c r="W61" s="1285"/>
      <c r="X61" s="1285"/>
      <c r="Y61" s="1285"/>
      <c r="Z61" s="1285"/>
      <c r="AA61" s="1285"/>
      <c r="AB61" s="1285"/>
      <c r="AC61" s="1285"/>
      <c r="AD61" s="1285"/>
      <c r="AE61" s="1285"/>
      <c r="AF61" s="1285"/>
      <c r="AG61" s="1285"/>
      <c r="AH61" s="1285"/>
      <c r="AI61" s="1285"/>
      <c r="AJ61" s="1285"/>
      <c r="AK61" s="1285"/>
      <c r="AL61" s="1285"/>
      <c r="AM61" s="1285"/>
    </row>
    <row r="62" spans="1:44" ht="14.25" customHeight="1">
      <c r="O62" s="63"/>
    </row>
    <row r="63" spans="1:44" ht="14.25" customHeight="1">
      <c r="O63" s="63"/>
      <c r="S63" s="196"/>
      <c r="T63" s="1192"/>
      <c r="U63" s="1285"/>
      <c r="V63" s="1285"/>
      <c r="W63" s="1285"/>
      <c r="X63" s="1285"/>
      <c r="Y63" s="1285"/>
      <c r="Z63" s="1285"/>
      <c r="AA63" s="1285"/>
      <c r="AB63" s="1285"/>
      <c r="AC63" s="1285"/>
      <c r="AD63" s="1285"/>
      <c r="AE63" s="1285"/>
      <c r="AF63" s="1285"/>
      <c r="AG63" s="1285"/>
      <c r="AH63" s="1285"/>
      <c r="AI63" s="1285"/>
      <c r="AJ63" s="1285"/>
      <c r="AK63" s="1285"/>
      <c r="AL63" s="1285"/>
      <c r="AM63" s="1285"/>
    </row>
    <row r="64" spans="1:44" ht="14.25" customHeight="1">
      <c r="O64" s="63"/>
      <c r="T64" s="1285"/>
      <c r="U64" s="1285"/>
      <c r="V64" s="1285"/>
      <c r="W64" s="1285"/>
      <c r="X64" s="1285"/>
      <c r="Y64" s="1285"/>
      <c r="Z64" s="1285"/>
      <c r="AA64" s="1285"/>
      <c r="AB64" s="1285"/>
      <c r="AC64" s="1285"/>
      <c r="AD64" s="1285"/>
      <c r="AE64" s="1285"/>
      <c r="AF64" s="1285"/>
      <c r="AG64" s="1285"/>
      <c r="AH64" s="1285"/>
      <c r="AI64" s="1285"/>
      <c r="AJ64" s="1285"/>
      <c r="AK64" s="1285"/>
      <c r="AL64" s="1285"/>
      <c r="AM64" s="1285"/>
    </row>
    <row r="65" spans="20:39" ht="14.25" customHeight="1">
      <c r="T65" s="1285"/>
      <c r="U65" s="1285"/>
      <c r="V65" s="1285"/>
      <c r="W65" s="1285"/>
      <c r="X65" s="1285"/>
      <c r="Y65" s="1285"/>
      <c r="Z65" s="1285"/>
      <c r="AA65" s="1285"/>
      <c r="AB65" s="1285"/>
      <c r="AC65" s="1285"/>
      <c r="AD65" s="1285"/>
      <c r="AE65" s="1285"/>
      <c r="AF65" s="1285"/>
      <c r="AG65" s="1285"/>
      <c r="AH65" s="1285"/>
      <c r="AI65" s="1285"/>
      <c r="AJ65" s="1285"/>
      <c r="AK65" s="1285"/>
      <c r="AL65" s="1285"/>
      <c r="AM65" s="1285"/>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A5E1-3611-3D6D-3516-7F81B1C26F2E}">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2" hidden="1"/>
    <col min="2" max="2" width="11" style="12" hidden="1" customWidth="1"/>
    <col min="3" max="3" width="10.5703125" style="12" hidden="1"/>
    <col min="4" max="4" width="11.85546875" style="12" hidden="1" customWidth="1"/>
    <col min="5" max="5" width="10" style="12" hidden="1" customWidth="1"/>
    <col min="6" max="6" width="8.7109375" style="12" hidden="1" customWidth="1"/>
    <col min="7" max="7" width="7.5703125" style="12" hidden="1" customWidth="1"/>
    <col min="8" max="8" width="11.42578125" style="12" hidden="1" customWidth="1"/>
    <col min="9" max="9" width="12" style="12" hidden="1" customWidth="1"/>
    <col min="10" max="10" width="9.85546875" style="12" hidden="1" customWidth="1"/>
    <col min="11" max="12" width="11.42578125" style="12" hidden="1" customWidth="1"/>
    <col min="13" max="13" width="19.140625" style="59" hidden="1" customWidth="1"/>
    <col min="14" max="15" width="12.28515625" style="34" hidden="1" customWidth="1"/>
    <col min="16" max="16" width="23.42578125" style="34" hidden="1" customWidth="1"/>
    <col min="17" max="17" width="3.7109375" style="34" hidden="1" customWidth="1"/>
    <col min="18" max="20" width="3.7109375" style="30" customWidth="1"/>
    <col min="21" max="21" width="12.7109375" style="334" customWidth="1"/>
    <col min="22" max="22" width="32" style="12" customWidth="1"/>
    <col min="23" max="23" width="0.140625" style="12" customWidth="1"/>
    <col min="24" max="28" width="21.7109375" style="12" hidden="1" customWidth="1"/>
    <col min="29" max="29" width="11.7109375" style="12" hidden="1" customWidth="1"/>
    <col min="30" max="30" width="3.7109375" style="12" hidden="1" customWidth="1"/>
    <col min="31" max="31" width="11.7109375" style="12" hidden="1" customWidth="1"/>
    <col min="32" max="32" width="8.5703125" style="12" hidden="1" customWidth="1"/>
    <col min="33" max="37" width="21.7109375" style="12" customWidth="1"/>
    <col min="38" max="38" width="11.7109375" style="12" customWidth="1"/>
    <col min="39" max="39" width="3.7109375" style="12" customWidth="1"/>
    <col min="40" max="40" width="11.7109375" style="12" customWidth="1"/>
    <col min="41" max="41" width="8.5703125" style="12" customWidth="1"/>
    <col min="42" max="42" width="4.7109375" style="12" customWidth="1"/>
    <col min="43" max="43" width="115.7109375" style="12" customWidth="1"/>
    <col min="44" max="45" width="10.5703125" style="68"/>
    <col min="46" max="46" width="11.140625" style="68" customWidth="1"/>
    <col min="47" max="48" width="10.5703125" style="68"/>
  </cols>
  <sheetData>
    <row r="1" spans="1:48" ht="14.25" hidden="1" customHeight="1"/>
    <row r="2" spans="1:48" ht="21" hidden="1" customHeight="1">
      <c r="A2" s="721"/>
      <c r="B2" s="721"/>
      <c r="C2" s="721"/>
      <c r="D2" s="721"/>
      <c r="E2" s="1289">
        <v>1</v>
      </c>
      <c r="F2" s="721"/>
      <c r="G2" s="721"/>
      <c r="H2" s="721"/>
      <c r="I2" s="721"/>
      <c r="J2" s="721"/>
      <c r="K2" s="721"/>
      <c r="L2" s="721"/>
      <c r="M2" s="744"/>
      <c r="N2" s="334"/>
      <c r="O2" s="334"/>
      <c r="P2" s="334"/>
      <c r="R2" s="35"/>
      <c r="S2" s="35"/>
      <c r="T2" s="205"/>
      <c r="U2" s="698" t="e">
        <f>INDEX(PT_DIFFERENTIATION_NUM_NTAR,MATCH(A2,PT_DIFFERENTIATION_NTAR_ID,0))</f>
        <v>#N/A</v>
      </c>
      <c r="V2" s="67" t="s">
        <v>124</v>
      </c>
      <c r="W2" s="169"/>
      <c r="X2" s="1251"/>
      <c r="Y2" s="1252"/>
      <c r="Z2" s="1252"/>
      <c r="AA2" s="1252"/>
      <c r="AB2" s="1252"/>
      <c r="AC2" s="1252"/>
      <c r="AD2" s="1252"/>
      <c r="AE2" s="1252"/>
      <c r="AF2" s="1253"/>
      <c r="AG2" s="1251" t="e">
        <f>INDEX(PT_DIFFERENTIATION_NTAR,MATCH(A2,PT_DIFFERENTIATION_NTAR_ID,0))</f>
        <v>#N/A</v>
      </c>
      <c r="AH2" s="1252"/>
      <c r="AI2" s="1252"/>
      <c r="AJ2" s="1252"/>
      <c r="AK2" s="1252"/>
      <c r="AL2" s="1252"/>
      <c r="AM2" s="1252"/>
      <c r="AN2" s="1252"/>
      <c r="AO2" s="1252"/>
      <c r="AP2" s="1253"/>
      <c r="AQ2" s="718" t="s">
        <v>395</v>
      </c>
      <c r="AS2" s="69"/>
      <c r="AT2" s="69" t="str">
        <f t="shared" ref="AT2:AT8" si="0">IF(V2="","",V2)</f>
        <v>Наименование тарифа</v>
      </c>
      <c r="AU2" s="69"/>
      <c r="AV2" s="69"/>
    </row>
    <row r="3" spans="1:48" ht="21" hidden="1" customHeight="1">
      <c r="A3" s="721"/>
      <c r="B3" s="721"/>
      <c r="C3" s="721"/>
      <c r="D3" s="721"/>
      <c r="E3" s="1290"/>
      <c r="F3" s="1289">
        <v>1</v>
      </c>
      <c r="G3" s="721"/>
      <c r="H3" s="721"/>
      <c r="I3" s="721"/>
      <c r="J3" s="721"/>
      <c r="K3" s="721"/>
      <c r="L3" s="721"/>
      <c r="M3" s="744"/>
      <c r="N3" s="334"/>
      <c r="O3" s="334"/>
      <c r="P3" s="334"/>
      <c r="Q3" s="59"/>
      <c r="R3" s="202"/>
      <c r="S3" s="12"/>
      <c r="T3" s="203"/>
      <c r="U3" s="698" t="e">
        <f>INDEX(PT_DIFFERENTIATION_NUM_TER,MATCH(B3,PT_DIFFERENTIATION_TER_ID,0))</f>
        <v>#N/A</v>
      </c>
      <c r="V3" s="175" t="s">
        <v>396</v>
      </c>
      <c r="W3" s="169"/>
      <c r="X3" s="1251"/>
      <c r="Y3" s="1252"/>
      <c r="Z3" s="1252"/>
      <c r="AA3" s="1252"/>
      <c r="AB3" s="1252"/>
      <c r="AC3" s="1252"/>
      <c r="AD3" s="1252"/>
      <c r="AE3" s="1252"/>
      <c r="AF3" s="1253"/>
      <c r="AG3" s="1251" t="e">
        <f>INDEX(PT_DIFFERENTIATION_TER,MATCH(B3,PT_DIFFERENTIATION_TER_ID,0))</f>
        <v>#N/A</v>
      </c>
      <c r="AH3" s="1252"/>
      <c r="AI3" s="1252"/>
      <c r="AJ3" s="1252"/>
      <c r="AK3" s="1252"/>
      <c r="AL3" s="1252"/>
      <c r="AM3" s="1252"/>
      <c r="AN3" s="1252"/>
      <c r="AO3" s="1252"/>
      <c r="AP3" s="1253"/>
      <c r="AQ3" s="718" t="s">
        <v>397</v>
      </c>
      <c r="AS3" s="69"/>
      <c r="AT3" s="69" t="str">
        <f t="shared" si="0"/>
        <v>Территория действия тарифа</v>
      </c>
      <c r="AU3" s="69"/>
      <c r="AV3" s="69"/>
    </row>
    <row r="4" spans="1:48" ht="22.5" hidden="1" customHeight="1">
      <c r="A4" s="721"/>
      <c r="B4" s="721"/>
      <c r="C4" s="721"/>
      <c r="D4" s="721"/>
      <c r="E4" s="1290"/>
      <c r="F4" s="1290"/>
      <c r="G4" s="1289">
        <v>1</v>
      </c>
      <c r="H4" s="721"/>
      <c r="I4" s="721"/>
      <c r="J4" s="721"/>
      <c r="K4" s="721"/>
      <c r="L4" s="721"/>
      <c r="M4" s="744"/>
      <c r="N4" s="334"/>
      <c r="O4" s="334"/>
      <c r="P4" s="334"/>
      <c r="Q4" s="204"/>
      <c r="R4" s="202"/>
      <c r="S4" s="12"/>
      <c r="T4" s="203"/>
      <c r="U4" s="698" t="e">
        <f>INDEX(PT_DIFFERENTIATION_NUM_CS,MATCH(C4,PT_DIFFERENTIATION_CS_ID,0))</f>
        <v>#N/A</v>
      </c>
      <c r="V4" s="176" t="s">
        <v>398</v>
      </c>
      <c r="W4" s="169"/>
      <c r="X4" s="1251"/>
      <c r="Y4" s="1252"/>
      <c r="Z4" s="1252"/>
      <c r="AA4" s="1252"/>
      <c r="AB4" s="1252"/>
      <c r="AC4" s="1252"/>
      <c r="AD4" s="1252"/>
      <c r="AE4" s="1252"/>
      <c r="AF4" s="1253"/>
      <c r="AG4" s="1251" t="e">
        <f>INDEX(PT_DIFFERENTIATION_CS,MATCH(C4,PT_DIFFERENTIATION_CS_ID,0))</f>
        <v>#N/A</v>
      </c>
      <c r="AH4" s="1252"/>
      <c r="AI4" s="1252"/>
      <c r="AJ4" s="1252"/>
      <c r="AK4" s="1252"/>
      <c r="AL4" s="1252"/>
      <c r="AM4" s="1252"/>
      <c r="AN4" s="1252"/>
      <c r="AO4" s="1252"/>
      <c r="AP4" s="1253"/>
      <c r="AQ4" s="718" t="s">
        <v>399</v>
      </c>
      <c r="AS4" s="69"/>
      <c r="AT4" s="69" t="str">
        <f t="shared" si="0"/>
        <v xml:space="preserve">Наименование системы теплоснабжения </v>
      </c>
      <c r="AU4" s="69"/>
      <c r="AV4" s="69"/>
    </row>
    <row r="5" spans="1:48" ht="21" hidden="1" customHeight="1">
      <c r="A5" s="721"/>
      <c r="B5" s="721"/>
      <c r="C5" s="721"/>
      <c r="D5" s="721"/>
      <c r="E5" s="1290"/>
      <c r="F5" s="1290"/>
      <c r="G5" s="1290"/>
      <c r="H5" s="1289">
        <v>1</v>
      </c>
      <c r="I5" s="721"/>
      <c r="J5" s="721"/>
      <c r="K5" s="721"/>
      <c r="L5" s="721"/>
      <c r="M5" s="744"/>
      <c r="N5" s="334"/>
      <c r="O5" s="334"/>
      <c r="P5" s="334"/>
      <c r="Q5" s="204"/>
      <c r="R5" s="202"/>
      <c r="S5" s="12"/>
      <c r="T5" s="203"/>
      <c r="U5" s="698" t="e">
        <f>INDEX(PT_DIFFERENTIATION_NUM_IST_TE,MATCH(D5,PT_DIFFERENTIATION_IST_TE_ID,0))</f>
        <v>#N/A</v>
      </c>
      <c r="V5" s="177" t="s">
        <v>400</v>
      </c>
      <c r="W5" s="169"/>
      <c r="X5" s="1251"/>
      <c r="Y5" s="1252"/>
      <c r="Z5" s="1252"/>
      <c r="AA5" s="1252"/>
      <c r="AB5" s="1252"/>
      <c r="AC5" s="1252"/>
      <c r="AD5" s="1252"/>
      <c r="AE5" s="1252"/>
      <c r="AF5" s="1253"/>
      <c r="AG5" s="1251" t="e">
        <f>INDEX(PT_DIFFERENTIATION_IST_TE,MATCH(D5,PT_DIFFERENTIATION_IST_TE_ID,0))</f>
        <v>#N/A</v>
      </c>
      <c r="AH5" s="1252"/>
      <c r="AI5" s="1252"/>
      <c r="AJ5" s="1252"/>
      <c r="AK5" s="1252"/>
      <c r="AL5" s="1252"/>
      <c r="AM5" s="1252"/>
      <c r="AN5" s="1252"/>
      <c r="AO5" s="1252"/>
      <c r="AP5" s="1253"/>
      <c r="AQ5" s="718" t="s">
        <v>401</v>
      </c>
      <c r="AS5" s="69"/>
      <c r="AT5" s="69" t="str">
        <f t="shared" si="0"/>
        <v xml:space="preserve">Источник тепловой энергии  </v>
      </c>
      <c r="AU5" s="69"/>
      <c r="AV5" s="69"/>
    </row>
    <row r="6" spans="1:48" ht="14.25" hidden="1" customHeight="1">
      <c r="A6" s="721"/>
      <c r="B6" s="721"/>
      <c r="C6" s="721"/>
      <c r="D6" s="721"/>
      <c r="E6" s="1290"/>
      <c r="F6" s="1290"/>
      <c r="G6" s="1290"/>
      <c r="H6" s="1290"/>
      <c r="I6" s="1146" t="e">
        <f>U5&amp;".1"</f>
        <v>#N/A</v>
      </c>
      <c r="J6" s="721"/>
      <c r="K6" s="721"/>
      <c r="L6" s="721"/>
      <c r="M6" s="744" t="s">
        <v>402</v>
      </c>
      <c r="N6" s="12"/>
      <c r="Q6" s="1264">
        <v>1</v>
      </c>
      <c r="R6" s="120"/>
      <c r="S6" s="120"/>
      <c r="T6" s="206"/>
      <c r="U6" s="353"/>
      <c r="V6" s="769"/>
      <c r="W6" s="770"/>
      <c r="X6" s="1294"/>
      <c r="Y6" s="1295"/>
      <c r="Z6" s="1295"/>
      <c r="AA6" s="1295"/>
      <c r="AB6" s="1295"/>
      <c r="AC6" s="1295"/>
      <c r="AD6" s="1295"/>
      <c r="AE6" s="1295"/>
      <c r="AF6" s="1296"/>
      <c r="AG6" s="1294"/>
      <c r="AH6" s="1295"/>
      <c r="AI6" s="1295"/>
      <c r="AJ6" s="1295"/>
      <c r="AK6" s="1295"/>
      <c r="AL6" s="1295"/>
      <c r="AM6" s="1295"/>
      <c r="AN6" s="1295"/>
      <c r="AO6" s="1295"/>
      <c r="AP6" s="1296"/>
      <c r="AQ6" s="771"/>
      <c r="AS6" s="69"/>
      <c r="AT6" s="69" t="str">
        <f t="shared" si="0"/>
        <v/>
      </c>
      <c r="AU6" s="69"/>
      <c r="AV6" s="69"/>
    </row>
    <row r="7" spans="1:48" ht="21" hidden="1" customHeight="1">
      <c r="A7" s="721"/>
      <c r="B7" s="721"/>
      <c r="C7" s="721"/>
      <c r="D7" s="721"/>
      <c r="E7" s="1290"/>
      <c r="F7" s="1290"/>
      <c r="G7" s="1290"/>
      <c r="H7" s="1290"/>
      <c r="I7" s="1117"/>
      <c r="J7" s="1146" t="e">
        <f>I6&amp;".1"</f>
        <v>#N/A</v>
      </c>
      <c r="K7" s="721"/>
      <c r="L7" s="721"/>
      <c r="M7" s="744" t="s">
        <v>405</v>
      </c>
      <c r="N7" s="12"/>
      <c r="O7" s="12"/>
      <c r="Q7" s="1264"/>
      <c r="R7" s="1264">
        <v>1</v>
      </c>
      <c r="S7" s="68"/>
      <c r="T7" s="207"/>
      <c r="U7" s="698" t="e">
        <f>$J7</f>
        <v>#N/A</v>
      </c>
      <c r="V7" s="163" t="s">
        <v>406</v>
      </c>
      <c r="W7" s="169"/>
      <c r="X7" s="1254"/>
      <c r="Y7" s="1255"/>
      <c r="Z7" s="1255"/>
      <c r="AA7" s="1255"/>
      <c r="AB7" s="1255"/>
      <c r="AC7" s="1247"/>
      <c r="AD7" s="1247"/>
      <c r="AE7" s="1247"/>
      <c r="AF7" s="1304"/>
      <c r="AG7" s="1254"/>
      <c r="AH7" s="1255"/>
      <c r="AI7" s="1255"/>
      <c r="AJ7" s="1255"/>
      <c r="AK7" s="1255"/>
      <c r="AL7" s="1255"/>
      <c r="AM7" s="1255"/>
      <c r="AN7" s="1255"/>
      <c r="AO7" s="1255"/>
      <c r="AP7" s="1256"/>
      <c r="AQ7" s="718" t="s">
        <v>407</v>
      </c>
      <c r="AS7" s="69"/>
      <c r="AT7" s="69" t="str">
        <f t="shared" si="0"/>
        <v>Группа потребителей</v>
      </c>
      <c r="AU7" s="69"/>
      <c r="AV7" s="69"/>
    </row>
    <row r="8" spans="1:48" ht="21" hidden="1" customHeight="1">
      <c r="A8" s="721"/>
      <c r="B8" s="721"/>
      <c r="C8" s="721"/>
      <c r="D8" s="721"/>
      <c r="E8" s="1290"/>
      <c r="F8" s="1290"/>
      <c r="G8" s="1290"/>
      <c r="H8" s="1290"/>
      <c r="I8" s="1117"/>
      <c r="J8" s="1117"/>
      <c r="K8" s="1146" t="e">
        <f>J7&amp;".1"</f>
        <v>#N/A</v>
      </c>
      <c r="L8" s="59"/>
      <c r="M8" s="744" t="s">
        <v>408</v>
      </c>
      <c r="N8" s="12"/>
      <c r="O8" s="12"/>
      <c r="P8" s="12"/>
      <c r="Q8" s="1264"/>
      <c r="R8" s="1264"/>
      <c r="S8" s="1264">
        <v>1</v>
      </c>
      <c r="T8" s="207"/>
      <c r="U8" s="698" t="e">
        <f>$K8</f>
        <v>#N/A</v>
      </c>
      <c r="V8" s="755"/>
      <c r="W8" s="169"/>
      <c r="X8" s="304"/>
      <c r="Y8" s="304"/>
      <c r="Z8" s="304"/>
      <c r="AA8" s="304"/>
      <c r="AB8" s="788"/>
      <c r="AC8" s="1268"/>
      <c r="AD8" s="1127" t="s">
        <v>62</v>
      </c>
      <c r="AE8" s="1268"/>
      <c r="AF8" s="1127" t="s">
        <v>62</v>
      </c>
      <c r="AG8" s="790"/>
      <c r="AH8" s="304"/>
      <c r="AI8" s="304"/>
      <c r="AJ8" s="304"/>
      <c r="AK8" s="717"/>
      <c r="AL8" s="1268"/>
      <c r="AM8" s="1127" t="s">
        <v>62</v>
      </c>
      <c r="AN8" s="1268"/>
      <c r="AO8" s="1127" t="s">
        <v>62</v>
      </c>
      <c r="AP8" s="189"/>
      <c r="AQ8" s="743" t="s">
        <v>451</v>
      </c>
      <c r="AR8" s="68" t="e">
        <f ca="1">STRCHECKDATE(X10:AP10)</f>
        <v>#NAME?</v>
      </c>
      <c r="AS8" s="69"/>
      <c r="AT8" s="69" t="str">
        <f t="shared" si="0"/>
        <v/>
      </c>
      <c r="AU8" s="69"/>
      <c r="AV8" s="69"/>
    </row>
    <row r="9" spans="1:48" ht="21" hidden="1" customHeight="1">
      <c r="A9" s="721"/>
      <c r="B9" s="721"/>
      <c r="C9" s="721"/>
      <c r="D9" s="721"/>
      <c r="E9" s="1290"/>
      <c r="F9" s="1290"/>
      <c r="G9" s="1290"/>
      <c r="H9" s="1290"/>
      <c r="I9" s="1117"/>
      <c r="J9" s="1117"/>
      <c r="K9" s="1117"/>
      <c r="L9" s="1146" t="e">
        <f>K8&amp;".1"</f>
        <v>#N/A</v>
      </c>
      <c r="M9" s="744"/>
      <c r="N9" s="12"/>
      <c r="O9" s="12"/>
      <c r="P9" s="12"/>
      <c r="Q9" s="1264"/>
      <c r="R9" s="1264"/>
      <c r="S9" s="1264"/>
      <c r="T9" s="207"/>
      <c r="U9" s="698" t="e">
        <f>$L9</f>
        <v>#N/A</v>
      </c>
      <c r="V9" s="777"/>
      <c r="W9" s="169"/>
      <c r="X9" s="189"/>
      <c r="Y9" s="304"/>
      <c r="Z9" s="304"/>
      <c r="AA9" s="304"/>
      <c r="AB9" s="788"/>
      <c r="AC9" s="1269"/>
      <c r="AD9" s="1127"/>
      <c r="AE9" s="1269"/>
      <c r="AF9" s="1127"/>
      <c r="AG9" s="790"/>
      <c r="AH9" s="304"/>
      <c r="AI9" s="304"/>
      <c r="AJ9" s="304"/>
      <c r="AK9" s="717"/>
      <c r="AL9" s="1269"/>
      <c r="AM9" s="1127"/>
      <c r="AN9" s="1269"/>
      <c r="AO9" s="1127"/>
      <c r="AP9" s="189"/>
      <c r="AQ9" s="1260" t="s">
        <v>452</v>
      </c>
      <c r="AS9" s="69"/>
      <c r="AT9" s="69"/>
      <c r="AU9" s="69"/>
      <c r="AV9" s="69"/>
    </row>
    <row r="10" spans="1:48" ht="14.25" hidden="1" customHeight="1">
      <c r="A10" s="721"/>
      <c r="B10" s="721"/>
      <c r="C10" s="721"/>
      <c r="D10" s="721"/>
      <c r="E10" s="1290"/>
      <c r="F10" s="1290"/>
      <c r="G10" s="1290"/>
      <c r="H10" s="1290"/>
      <c r="I10" s="1117"/>
      <c r="J10" s="1117"/>
      <c r="K10" s="1117"/>
      <c r="L10" s="1146"/>
      <c r="M10" s="744"/>
      <c r="N10" s="12"/>
      <c r="O10" s="12"/>
      <c r="P10" s="12"/>
      <c r="Q10" s="1264"/>
      <c r="R10" s="1264"/>
      <c r="S10" s="1264"/>
      <c r="T10" s="207"/>
      <c r="U10" s="65"/>
      <c r="V10" s="169"/>
      <c r="W10" s="169"/>
      <c r="X10" s="189"/>
      <c r="Y10" s="189"/>
      <c r="Z10" s="189"/>
      <c r="AA10" s="189"/>
      <c r="AB10" s="789" t="str">
        <f>AC8&amp;"-"&amp;AE8</f>
        <v>-</v>
      </c>
      <c r="AC10" s="1269"/>
      <c r="AD10" s="1127"/>
      <c r="AE10" s="1269"/>
      <c r="AF10" s="1127"/>
      <c r="AG10" s="768"/>
      <c r="AH10" s="189"/>
      <c r="AI10" s="189"/>
      <c r="AJ10" s="189"/>
      <c r="AK10" s="190" t="str">
        <f>AL8&amp;"-"&amp;AN8</f>
        <v>-</v>
      </c>
      <c r="AL10" s="1269"/>
      <c r="AM10" s="1127"/>
      <c r="AN10" s="1269"/>
      <c r="AO10" s="1127"/>
      <c r="AP10" s="189"/>
      <c r="AQ10" s="1261"/>
      <c r="AS10" s="69"/>
      <c r="AT10" s="69" t="str">
        <f>IF(V10="","",V10)</f>
        <v/>
      </c>
      <c r="AU10" s="69"/>
      <c r="AV10" s="69"/>
    </row>
    <row r="11" spans="1:48" ht="11.25" hidden="1" customHeight="1">
      <c r="A11" s="721"/>
      <c r="B11" s="721"/>
      <c r="C11" s="721"/>
      <c r="D11" s="721"/>
      <c r="E11" s="1290"/>
      <c r="F11" s="1290"/>
      <c r="G11" s="1290"/>
      <c r="H11" s="1290"/>
      <c r="I11" s="1117"/>
      <c r="J11" s="1117"/>
      <c r="K11" s="1146"/>
      <c r="L11" s="721"/>
      <c r="M11" s="744"/>
      <c r="N11" s="12"/>
      <c r="O11" s="12"/>
      <c r="P11" s="12"/>
      <c r="Q11" s="1264"/>
      <c r="R11" s="1264"/>
      <c r="S11" s="1264"/>
      <c r="T11" s="207"/>
      <c r="U11" s="732"/>
      <c r="V11" s="165" t="s">
        <v>453</v>
      </c>
      <c r="W11" s="778"/>
      <c r="X11" s="779"/>
      <c r="Y11" s="779"/>
      <c r="Z11" s="779"/>
      <c r="AA11" s="779"/>
      <c r="AB11" s="780"/>
      <c r="AC11" s="1269"/>
      <c r="AD11" s="1127"/>
      <c r="AE11" s="1269"/>
      <c r="AF11" s="1127"/>
      <c r="AG11" s="779"/>
      <c r="AH11" s="779"/>
      <c r="AI11" s="779"/>
      <c r="AJ11" s="779"/>
      <c r="AK11" s="780"/>
      <c r="AL11" s="1269"/>
      <c r="AM11" s="1127"/>
      <c r="AN11" s="1269"/>
      <c r="AO11" s="1127"/>
      <c r="AP11" s="781"/>
      <c r="AQ11" s="1261"/>
      <c r="AS11" s="69"/>
      <c r="AT11" s="69"/>
      <c r="AU11" s="69"/>
      <c r="AV11" s="69"/>
    </row>
    <row r="12" spans="1:48" ht="15" hidden="1" customHeight="1">
      <c r="A12" s="721"/>
      <c r="B12" s="721"/>
      <c r="C12" s="721"/>
      <c r="D12" s="721"/>
      <c r="E12" s="1290"/>
      <c r="F12" s="1290"/>
      <c r="G12" s="1290"/>
      <c r="H12" s="1290"/>
      <c r="I12" s="1117"/>
      <c r="J12" s="1146"/>
      <c r="K12" s="721"/>
      <c r="L12" s="721"/>
      <c r="M12" s="744"/>
      <c r="N12" s="12"/>
      <c r="O12" s="12"/>
      <c r="Q12" s="1264"/>
      <c r="R12" s="1264"/>
      <c r="S12" s="120"/>
      <c r="T12" s="206"/>
      <c r="U12" s="732"/>
      <c r="V12" s="164" t="s">
        <v>410</v>
      </c>
      <c r="W12" s="211"/>
      <c r="X12" s="211"/>
      <c r="Y12" s="211"/>
      <c r="Z12" s="211"/>
      <c r="AA12" s="211"/>
      <c r="AB12" s="211"/>
      <c r="AC12" s="791"/>
      <c r="AD12" s="791"/>
      <c r="AE12" s="791"/>
      <c r="AF12" s="791"/>
      <c r="AG12" s="211"/>
      <c r="AH12" s="211"/>
      <c r="AI12" s="211"/>
      <c r="AJ12" s="211"/>
      <c r="AK12" s="211"/>
      <c r="AL12" s="211"/>
      <c r="AM12" s="211"/>
      <c r="AN12" s="211"/>
      <c r="AO12" s="211"/>
      <c r="AP12" s="188"/>
      <c r="AQ12" s="1262"/>
      <c r="AS12" s="69"/>
      <c r="AT12" s="69" t="str">
        <f t="shared" ref="AT12:AT17" si="1">IF(V12="","",V12)</f>
        <v>Добавить вид теплоносителя (параметры теплоносителя)</v>
      </c>
      <c r="AU12" s="69"/>
      <c r="AV12" s="69"/>
    </row>
    <row r="13" spans="1:48" ht="11.25" hidden="1" customHeight="1">
      <c r="A13" s="721"/>
      <c r="B13" s="721"/>
      <c r="C13" s="721"/>
      <c r="D13" s="721"/>
      <c r="E13" s="1290"/>
      <c r="F13" s="1290"/>
      <c r="G13" s="1290"/>
      <c r="H13" s="1290"/>
      <c r="I13" s="1146"/>
      <c r="J13" s="721"/>
      <c r="K13" s="721"/>
      <c r="L13" s="721"/>
      <c r="M13" s="744"/>
      <c r="N13" s="12"/>
      <c r="Q13" s="1264"/>
      <c r="R13" s="120"/>
      <c r="S13" s="120"/>
      <c r="T13" s="206"/>
      <c r="U13" s="732"/>
      <c r="V13" s="209" t="s">
        <v>411</v>
      </c>
      <c r="W13" s="211"/>
      <c r="X13" s="211"/>
      <c r="Y13" s="211"/>
      <c r="Z13" s="211"/>
      <c r="AA13" s="211"/>
      <c r="AB13" s="211"/>
      <c r="AC13" s="211"/>
      <c r="AD13" s="211"/>
      <c r="AE13" s="211"/>
      <c r="AF13" s="210"/>
      <c r="AG13" s="211"/>
      <c r="AH13" s="211"/>
      <c r="AI13" s="211"/>
      <c r="AJ13" s="211"/>
      <c r="AK13" s="211"/>
      <c r="AL13" s="211"/>
      <c r="AM13" s="211"/>
      <c r="AN13" s="211"/>
      <c r="AO13" s="210"/>
      <c r="AP13" s="211"/>
      <c r="AQ13" s="172"/>
      <c r="AS13" s="69"/>
      <c r="AT13" s="69" t="str">
        <f t="shared" si="1"/>
        <v>Добавить группу потребителей</v>
      </c>
      <c r="AU13" s="69"/>
      <c r="AV13" s="69"/>
    </row>
    <row r="14" spans="1:48" ht="14.25" hidden="1" customHeight="1">
      <c r="A14" s="721"/>
      <c r="B14" s="721"/>
      <c r="C14" s="721"/>
      <c r="D14" s="721"/>
      <c r="E14" s="1290"/>
      <c r="F14" s="1290"/>
      <c r="G14" s="1290"/>
      <c r="H14" s="1289"/>
      <c r="I14" s="721"/>
      <c r="J14" s="721"/>
      <c r="K14" s="721"/>
      <c r="L14" s="721"/>
      <c r="M14" s="744"/>
      <c r="N14" s="334"/>
      <c r="O14" s="334"/>
      <c r="P14" s="12"/>
      <c r="Q14" s="35"/>
      <c r="R14" s="214"/>
      <c r="S14" s="205"/>
      <c r="T14" s="35"/>
      <c r="U14" s="772"/>
      <c r="V14" s="773"/>
      <c r="W14" s="774"/>
      <c r="X14" s="774"/>
      <c r="Y14" s="774"/>
      <c r="Z14" s="774"/>
      <c r="AA14" s="774"/>
      <c r="AB14" s="774"/>
      <c r="AC14" s="774"/>
      <c r="AD14" s="774"/>
      <c r="AE14" s="774"/>
      <c r="AF14" s="774"/>
      <c r="AG14" s="774"/>
      <c r="AH14" s="774"/>
      <c r="AI14" s="774"/>
      <c r="AJ14" s="774"/>
      <c r="AK14" s="774"/>
      <c r="AL14" s="774"/>
      <c r="AM14" s="774"/>
      <c r="AN14" s="774"/>
      <c r="AO14" s="774"/>
      <c r="AP14" s="774"/>
      <c r="AQ14" s="775"/>
      <c r="AS14" s="69"/>
      <c r="AT14" s="69" t="str">
        <f t="shared" si="1"/>
        <v/>
      </c>
      <c r="AU14" s="69"/>
      <c r="AV14" s="69"/>
    </row>
    <row r="15" spans="1:48" s="68" customFormat="1" ht="14.25" hidden="1" customHeight="1">
      <c r="A15" s="764"/>
      <c r="B15" s="764"/>
      <c r="C15" s="764"/>
      <c r="D15" s="764"/>
      <c r="E15" s="1290"/>
      <c r="F15" s="1290"/>
      <c r="G15" s="1289"/>
      <c r="H15" s="764"/>
      <c r="I15" s="764"/>
      <c r="J15" s="764"/>
      <c r="K15" s="764"/>
      <c r="L15" s="764"/>
      <c r="M15" s="765"/>
      <c r="N15" s="766"/>
      <c r="O15" s="766"/>
      <c r="P15" s="201"/>
      <c r="Q15" s="102"/>
      <c r="R15" s="745"/>
      <c r="S15" s="102"/>
      <c r="T15" s="102"/>
      <c r="U15" s="746"/>
      <c r="V15" s="747" t="s">
        <v>413</v>
      </c>
      <c r="W15" s="748"/>
      <c r="X15" s="748"/>
      <c r="Y15" s="748"/>
      <c r="Z15" s="748"/>
      <c r="AA15" s="748"/>
      <c r="AB15" s="748"/>
      <c r="AC15" s="748"/>
      <c r="AD15" s="748"/>
      <c r="AE15" s="748"/>
      <c r="AF15" s="748"/>
      <c r="AG15" s="748"/>
      <c r="AH15" s="748"/>
      <c r="AI15" s="748"/>
      <c r="AJ15" s="748"/>
      <c r="AK15" s="748"/>
      <c r="AL15" s="748"/>
      <c r="AM15" s="748"/>
      <c r="AN15" s="748"/>
      <c r="AO15" s="748"/>
      <c r="AP15" s="748"/>
      <c r="AQ15" s="748"/>
      <c r="AS15" s="69"/>
      <c r="AT15" s="69" t="str">
        <f t="shared" si="1"/>
        <v>Добавить источник для дифференциации</v>
      </c>
      <c r="AU15" s="69"/>
      <c r="AV15" s="69"/>
    </row>
    <row r="16" spans="1:48" s="68" customFormat="1" ht="14.25" hidden="1" customHeight="1">
      <c r="A16" s="764"/>
      <c r="B16" s="764"/>
      <c r="C16" s="764"/>
      <c r="D16" s="764"/>
      <c r="E16" s="1290"/>
      <c r="F16" s="1289"/>
      <c r="G16" s="764"/>
      <c r="H16" s="764"/>
      <c r="I16" s="764"/>
      <c r="J16" s="764"/>
      <c r="K16" s="764"/>
      <c r="L16" s="764"/>
      <c r="M16" s="765"/>
      <c r="N16" s="767"/>
      <c r="O16" s="767"/>
      <c r="P16" s="201"/>
      <c r="Q16" s="102"/>
      <c r="R16" s="745"/>
      <c r="S16" s="102"/>
      <c r="T16" s="102"/>
      <c r="U16" s="750"/>
      <c r="V16" s="751" t="s">
        <v>414</v>
      </c>
      <c r="W16" s="311"/>
      <c r="X16" s="311"/>
      <c r="Y16" s="311"/>
      <c r="Z16" s="311"/>
      <c r="AA16" s="311"/>
      <c r="AB16" s="311"/>
      <c r="AC16" s="311"/>
      <c r="AD16" s="311"/>
      <c r="AE16" s="311"/>
      <c r="AF16" s="311"/>
      <c r="AG16" s="311"/>
      <c r="AH16" s="311"/>
      <c r="AI16" s="311"/>
      <c r="AJ16" s="311"/>
      <c r="AK16" s="311"/>
      <c r="AL16" s="311"/>
      <c r="AM16" s="311"/>
      <c r="AN16" s="311"/>
      <c r="AO16" s="311"/>
      <c r="AP16" s="311"/>
      <c r="AQ16" s="311"/>
      <c r="AS16" s="69"/>
      <c r="AT16" s="69" t="str">
        <f t="shared" si="1"/>
        <v>Добавить централизованную систему для дифференциации</v>
      </c>
      <c r="AU16" s="69"/>
      <c r="AV16" s="69"/>
    </row>
    <row r="17" spans="1:48" s="68" customFormat="1" ht="14.25" hidden="1" customHeight="1">
      <c r="A17" s="764"/>
      <c r="B17" s="764"/>
      <c r="C17" s="764"/>
      <c r="D17" s="764"/>
      <c r="E17" s="1289"/>
      <c r="F17" s="764"/>
      <c r="G17" s="764"/>
      <c r="H17" s="764"/>
      <c r="I17" s="764"/>
      <c r="J17" s="764"/>
      <c r="K17" s="764"/>
      <c r="L17" s="764"/>
      <c r="M17" s="765"/>
      <c r="N17" s="767"/>
      <c r="O17" s="767"/>
      <c r="P17" s="201"/>
      <c r="Q17" s="102"/>
      <c r="R17" s="745"/>
      <c r="S17" s="102"/>
      <c r="T17" s="102"/>
      <c r="U17" s="750"/>
      <c r="V17" s="752" t="s">
        <v>415</v>
      </c>
      <c r="W17" s="311"/>
      <c r="X17" s="311"/>
      <c r="Y17" s="311"/>
      <c r="Z17" s="311"/>
      <c r="AA17" s="311"/>
      <c r="AB17" s="311"/>
      <c r="AC17" s="311"/>
      <c r="AD17" s="311"/>
      <c r="AE17" s="311"/>
      <c r="AF17" s="311"/>
      <c r="AG17" s="311"/>
      <c r="AH17" s="311"/>
      <c r="AI17" s="311"/>
      <c r="AJ17" s="311"/>
      <c r="AK17" s="311"/>
      <c r="AL17" s="311"/>
      <c r="AM17" s="311"/>
      <c r="AN17" s="311"/>
      <c r="AO17" s="311"/>
      <c r="AP17" s="311"/>
      <c r="AQ17" s="311"/>
      <c r="AS17" s="69"/>
      <c r="AT17" s="69" t="str">
        <f t="shared" si="1"/>
        <v>Добавить территорию для дифференциации</v>
      </c>
      <c r="AU17" s="69"/>
      <c r="AV17" s="69"/>
    </row>
    <row r="18" spans="1:48" ht="14.25" hidden="1" customHeight="1"/>
    <row r="19" spans="1:48" ht="14.25" hidden="1" customHeight="1">
      <c r="AG19" s="359"/>
      <c r="AH19" s="359"/>
      <c r="AI19" s="359"/>
      <c r="AJ19" s="359"/>
      <c r="AK19" s="758"/>
      <c r="AL19" s="1270"/>
      <c r="AM19" s="1271" t="s">
        <v>62</v>
      </c>
      <c r="AN19" s="1270"/>
      <c r="AO19" s="1271" t="s">
        <v>62</v>
      </c>
    </row>
    <row r="20" spans="1:48" ht="14.25" hidden="1" customHeight="1">
      <c r="AG20" s="359"/>
      <c r="AH20" s="359"/>
      <c r="AI20" s="359"/>
      <c r="AJ20" s="359"/>
      <c r="AK20" s="758"/>
      <c r="AL20" s="1270"/>
      <c r="AM20" s="1271"/>
      <c r="AN20" s="1270"/>
      <c r="AO20" s="1271"/>
    </row>
    <row r="21" spans="1:48" ht="14.25" hidden="1" customHeight="1">
      <c r="AG21" s="359"/>
      <c r="AH21" s="359"/>
      <c r="AI21" s="359"/>
      <c r="AJ21" s="359"/>
      <c r="AK21" s="758"/>
      <c r="AL21" s="1270"/>
      <c r="AM21" s="1271"/>
      <c r="AN21" s="1270"/>
      <c r="AO21" s="1271"/>
    </row>
    <row r="22" spans="1:48" ht="14.25" hidden="1" customHeight="1">
      <c r="AG22" s="359"/>
      <c r="AH22" s="359"/>
      <c r="AI22" s="359"/>
      <c r="AJ22" s="359"/>
      <c r="AK22" s="190" t="str">
        <f>AL19&amp;"-"&amp;AN19</f>
        <v>-</v>
      </c>
      <c r="AL22" s="1271"/>
      <c r="AM22" s="1271"/>
      <c r="AN22" s="1271"/>
      <c r="AO22" s="1271"/>
    </row>
    <row r="23" spans="1:48" ht="14.25" hidden="1" customHeight="1"/>
    <row r="24" spans="1:48" s="63" customFormat="1" ht="22.5" hidden="1" customHeight="1">
      <c r="A24" s="12"/>
      <c r="B24" s="12"/>
      <c r="C24" s="12"/>
      <c r="D24" s="12"/>
      <c r="E24" s="12"/>
      <c r="F24" s="12"/>
      <c r="G24" s="12"/>
      <c r="H24" s="12"/>
      <c r="I24" s="12"/>
      <c r="J24" s="12"/>
      <c r="K24" s="12"/>
      <c r="L24" s="12"/>
      <c r="M24" s="59"/>
      <c r="N24" s="34"/>
      <c r="O24" s="34"/>
      <c r="P24" s="754" t="s">
        <v>416</v>
      </c>
      <c r="Q24" s="497"/>
      <c r="R24" s="762"/>
      <c r="S24" s="762"/>
      <c r="T24" s="762"/>
      <c r="U24" s="417"/>
      <c r="AC24" s="761"/>
      <c r="AE24" s="761"/>
      <c r="AL24" s="761"/>
      <c r="AN24" s="761"/>
      <c r="AR24" s="68"/>
      <c r="AS24" s="68"/>
      <c r="AT24" s="68"/>
      <c r="AU24" s="68"/>
      <c r="AV24" s="68"/>
    </row>
    <row r="25" spans="1:48" s="63" customFormat="1" ht="14.25" hidden="1" customHeight="1">
      <c r="A25" s="12"/>
      <c r="B25" s="12"/>
      <c r="C25" s="12"/>
      <c r="D25" s="12"/>
      <c r="E25" s="12"/>
      <c r="F25" s="12"/>
      <c r="G25" s="12"/>
      <c r="H25" s="12"/>
      <c r="I25" s="12"/>
      <c r="J25" s="12"/>
      <c r="K25" s="12"/>
      <c r="L25" s="12"/>
      <c r="M25" s="59"/>
      <c r="N25" s="34"/>
      <c r="O25" s="34"/>
      <c r="P25" s="34"/>
      <c r="Q25" s="497"/>
      <c r="R25" s="762"/>
      <c r="S25" s="762"/>
      <c r="T25" s="762"/>
      <c r="U25" s="417"/>
      <c r="AR25" s="68"/>
      <c r="AS25" s="68"/>
      <c r="AT25" s="68"/>
      <c r="AU25" s="68"/>
      <c r="AV25" s="68"/>
    </row>
    <row r="26" spans="1:48" s="63" customFormat="1" ht="14.25" hidden="1" customHeight="1">
      <c r="A26" s="12"/>
      <c r="B26" s="12"/>
      <c r="C26" s="12"/>
      <c r="D26" s="12"/>
      <c r="E26" s="12"/>
      <c r="F26" s="12"/>
      <c r="G26" s="12"/>
      <c r="H26" s="12"/>
      <c r="I26" s="12"/>
      <c r="J26" s="12"/>
      <c r="K26" s="12"/>
      <c r="L26" s="12"/>
      <c r="M26" s="59"/>
      <c r="N26" s="34"/>
      <c r="O26" s="34"/>
      <c r="P26" s="744" t="s">
        <v>417</v>
      </c>
      <c r="Q26" s="497"/>
      <c r="R26" s="762"/>
      <c r="S26" s="762"/>
      <c r="T26" s="762"/>
      <c r="U26" s="417"/>
      <c r="V26" s="63" t="s">
        <v>418</v>
      </c>
      <c r="AD26" s="81" t="s">
        <v>419</v>
      </c>
      <c r="AF26" s="81" t="s">
        <v>420</v>
      </c>
      <c r="AG26" s="63" t="s">
        <v>418</v>
      </c>
      <c r="AM26" s="81" t="s">
        <v>421</v>
      </c>
      <c r="AO26" s="81" t="s">
        <v>420</v>
      </c>
      <c r="AR26" s="68"/>
      <c r="AS26" s="68"/>
      <c r="AT26" s="68"/>
      <c r="AU26" s="68"/>
      <c r="AV26" s="68"/>
    </row>
    <row r="27" spans="1:48" ht="14.25" hidden="1" customHeight="1">
      <c r="P27" s="744"/>
    </row>
    <row r="28" spans="1:48" ht="14.25" hidden="1" customHeight="1">
      <c r="P28" s="744"/>
    </row>
    <row r="29" spans="1:48" ht="14.25" customHeight="1">
      <c r="R29" s="29"/>
      <c r="S29" s="29"/>
      <c r="T29" s="29"/>
      <c r="U29" s="729"/>
      <c r="V29" s="11"/>
      <c r="W29" s="11"/>
    </row>
    <row r="30" spans="1:48" ht="54" customHeight="1">
      <c r="R30" s="29"/>
      <c r="S30" s="29"/>
      <c r="T30" s="29"/>
      <c r="U30" s="1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49"/>
      <c r="W30" s="1249"/>
      <c r="X30" s="1249"/>
      <c r="Y30" s="1249"/>
      <c r="Z30" s="1249"/>
      <c r="AA30" s="1249"/>
      <c r="AB30" s="1249"/>
      <c r="AC30" s="1249"/>
      <c r="AD30" s="1249"/>
      <c r="AE30" s="1249"/>
      <c r="AF30" s="1249"/>
      <c r="AG30" s="1249"/>
      <c r="AH30" s="1249"/>
      <c r="AI30" s="1249"/>
      <c r="AJ30" s="1249"/>
      <c r="AK30" s="1249"/>
      <c r="AL30" s="1249"/>
      <c r="AM30" s="1249"/>
      <c r="AN30" s="1249"/>
      <c r="AO30" s="60"/>
    </row>
    <row r="31" spans="1:48" ht="14.25" customHeight="1">
      <c r="R31" s="29"/>
      <c r="S31" s="29"/>
      <c r="T31" s="29"/>
      <c r="U31" s="1194" t="str">
        <f>IF(org=0,"Не определено",org)</f>
        <v>АО "ХТК"</v>
      </c>
      <c r="V31" s="1194"/>
      <c r="W31" s="1194"/>
      <c r="X31" s="1194"/>
      <c r="Y31" s="1194"/>
      <c r="Z31" s="1194"/>
      <c r="AA31" s="1194"/>
      <c r="AB31" s="1194"/>
      <c r="AC31" s="1194"/>
      <c r="AD31" s="1194"/>
      <c r="AE31" s="1194"/>
      <c r="AF31" s="1194"/>
      <c r="AG31" s="1194"/>
      <c r="AH31" s="1194"/>
      <c r="AI31" s="1194"/>
      <c r="AJ31" s="1194"/>
      <c r="AK31" s="1194"/>
      <c r="AL31" s="1194"/>
      <c r="AM31" s="1194"/>
      <c r="AN31" s="1194"/>
      <c r="AO31" s="60"/>
    </row>
    <row r="32" spans="1:48" ht="14.25" hidden="1" customHeight="1">
      <c r="R32" s="29"/>
      <c r="S32" s="29"/>
      <c r="T32" s="29"/>
      <c r="U32" s="729"/>
      <c r="V32" s="11"/>
      <c r="W32" s="11"/>
      <c r="X32" s="187"/>
      <c r="Y32" s="187"/>
      <c r="Z32" s="187"/>
      <c r="AA32" s="187"/>
      <c r="AB32" s="187"/>
      <c r="AC32" s="187"/>
      <c r="AD32" s="187"/>
      <c r="AE32" s="187"/>
      <c r="AF32" s="187"/>
      <c r="AG32" s="187"/>
      <c r="AH32" s="187"/>
      <c r="AI32" s="187"/>
      <c r="AJ32" s="187"/>
      <c r="AK32" s="187"/>
      <c r="AL32" s="187"/>
      <c r="AM32" s="187"/>
      <c r="AN32" s="187"/>
      <c r="AO32" s="187"/>
    </row>
    <row r="33" spans="1:48" s="36" customFormat="1" ht="25.5" hidden="1" customHeight="1">
      <c r="A33" s="18"/>
      <c r="B33" s="18"/>
      <c r="C33" s="18"/>
      <c r="D33" s="18"/>
      <c r="E33" s="18"/>
      <c r="F33" s="18"/>
      <c r="G33" s="18"/>
      <c r="H33" s="18"/>
      <c r="I33" s="18"/>
      <c r="J33" s="18"/>
      <c r="K33" s="18"/>
      <c r="L33" s="18"/>
      <c r="M33" s="744"/>
      <c r="N33" s="18"/>
      <c r="O33" s="18"/>
      <c r="P33" s="18"/>
      <c r="U33" s="1257" t="s">
        <v>37</v>
      </c>
      <c r="V33" s="1257"/>
      <c r="W33" s="763"/>
      <c r="X33" s="1258" t="str">
        <f>IF(TITLE_NAME_OR_PR_CHANGE="",IF(TITLE_NAME_OR_PR="","",TITLE_NAME_OR_PR),TITLE_NAME_OR_PR_CHANGE)</f>
        <v/>
      </c>
      <c r="Y33" s="1258"/>
      <c r="Z33" s="1258"/>
      <c r="AA33" s="1258"/>
      <c r="AB33" s="1258"/>
      <c r="AC33" s="1258"/>
      <c r="AD33" s="1258"/>
      <c r="AE33" s="1258"/>
      <c r="AF33" s="12"/>
      <c r="AG33" s="1258" t="str">
        <f>IF(TITLE_NAME_OR_PR_CHANGE="",IF(TITLE_NAME_OR_PR="","",TITLE_NAME_OR_PR),TITLE_NAME_OR_PR_CHANGE)</f>
        <v/>
      </c>
      <c r="AH33" s="1258"/>
      <c r="AI33" s="1258"/>
      <c r="AJ33" s="1258"/>
      <c r="AK33" s="1258"/>
      <c r="AL33" s="1258"/>
      <c r="AM33" s="1258"/>
      <c r="AN33" s="1258"/>
      <c r="AO33" s="12"/>
      <c r="AP33" s="12"/>
      <c r="AQ33" s="161"/>
      <c r="AR33" s="69"/>
      <c r="AS33" s="69"/>
      <c r="AT33" s="69"/>
      <c r="AU33" s="69"/>
      <c r="AV33" s="69"/>
    </row>
    <row r="34" spans="1:48" s="36" customFormat="1" ht="18.75" hidden="1" customHeight="1">
      <c r="A34" s="18"/>
      <c r="B34" s="18"/>
      <c r="C34" s="18"/>
      <c r="D34" s="18"/>
      <c r="E34" s="18"/>
      <c r="F34" s="18"/>
      <c r="G34" s="18"/>
      <c r="H34" s="18"/>
      <c r="I34" s="18"/>
      <c r="J34" s="18"/>
      <c r="K34" s="18"/>
      <c r="L34" s="18"/>
      <c r="M34" s="744"/>
      <c r="N34" s="18"/>
      <c r="O34" s="18"/>
      <c r="P34" s="18"/>
      <c r="U34" s="1257" t="s">
        <v>422</v>
      </c>
      <c r="V34" s="1257"/>
      <c r="W34" s="763"/>
      <c r="X34" s="1267" t="str">
        <f>IF(TITLE_DATE_PR_CHANGE="",IF(TITLE_DATE_PR="","",TITLE_DATE_PR),TITLE_DATE_PR_CHANGE)</f>
        <v/>
      </c>
      <c r="Y34" s="1267"/>
      <c r="Z34" s="1267"/>
      <c r="AA34" s="1267"/>
      <c r="AB34" s="1267"/>
      <c r="AC34" s="1267"/>
      <c r="AD34" s="1267"/>
      <c r="AE34" s="1267"/>
      <c r="AF34" s="12"/>
      <c r="AG34" s="1267" t="str">
        <f>IF(TITLE_DATE_PR_CHANGE="",IF(TITLE_DATE_PR="","",TITLE_DATE_PR),TITLE_DATE_PR_CHANGE)</f>
        <v/>
      </c>
      <c r="AH34" s="1267"/>
      <c r="AI34" s="1267"/>
      <c r="AJ34" s="1267"/>
      <c r="AK34" s="1267"/>
      <c r="AL34" s="1267"/>
      <c r="AM34" s="1267"/>
      <c r="AN34" s="1267"/>
      <c r="AO34" s="12"/>
      <c r="AP34" s="12"/>
      <c r="AQ34" s="161"/>
      <c r="AR34" s="69"/>
      <c r="AS34" s="69"/>
      <c r="AT34" s="69"/>
      <c r="AU34" s="69"/>
      <c r="AV34" s="69"/>
    </row>
    <row r="35" spans="1:48" s="36" customFormat="1" ht="18.75" hidden="1" customHeight="1">
      <c r="A35" s="18"/>
      <c r="B35" s="18"/>
      <c r="C35" s="18"/>
      <c r="D35" s="18"/>
      <c r="E35" s="18"/>
      <c r="F35" s="18"/>
      <c r="G35" s="18"/>
      <c r="H35" s="18"/>
      <c r="I35" s="18"/>
      <c r="J35" s="18"/>
      <c r="K35" s="18"/>
      <c r="L35" s="18"/>
      <c r="M35" s="744"/>
      <c r="N35" s="18"/>
      <c r="O35" s="18"/>
      <c r="P35" s="18"/>
      <c r="U35" s="1257" t="s">
        <v>423</v>
      </c>
      <c r="V35" s="1257"/>
      <c r="W35" s="763"/>
      <c r="X35" s="1258" t="str">
        <f>IF(TITLE_NUMBER_PR_CHANGE="",IF(TITLE_NUMBER_PR="","",TITLE_NUMBER_PR),TITLE_NUMBER_PR_CHANGE)</f>
        <v/>
      </c>
      <c r="Y35" s="1258"/>
      <c r="Z35" s="1258"/>
      <c r="AA35" s="1258"/>
      <c r="AB35" s="1258"/>
      <c r="AC35" s="1258"/>
      <c r="AD35" s="1258"/>
      <c r="AE35" s="1258"/>
      <c r="AF35" s="12"/>
      <c r="AG35" s="1258" t="str">
        <f>IF(TITLE_NUMBER_PR_CHANGE="",IF(TITLE_NUMBER_PR="","",TITLE_NUMBER_PR),TITLE_NUMBER_PR_CHANGE)</f>
        <v/>
      </c>
      <c r="AH35" s="1258"/>
      <c r="AI35" s="1258"/>
      <c r="AJ35" s="1258"/>
      <c r="AK35" s="1258"/>
      <c r="AL35" s="1258"/>
      <c r="AM35" s="1258"/>
      <c r="AN35" s="1258"/>
      <c r="AO35" s="12"/>
      <c r="AP35" s="12"/>
      <c r="AQ35" s="161"/>
      <c r="AR35" s="69"/>
      <c r="AS35" s="69"/>
      <c r="AT35" s="69"/>
      <c r="AU35" s="69"/>
      <c r="AV35" s="69"/>
    </row>
    <row r="36" spans="1:48" s="36" customFormat="1" ht="18.75" hidden="1" customHeight="1">
      <c r="A36" s="18"/>
      <c r="B36" s="18"/>
      <c r="C36" s="18"/>
      <c r="D36" s="18"/>
      <c r="E36" s="18"/>
      <c r="F36" s="18"/>
      <c r="G36" s="18"/>
      <c r="H36" s="18"/>
      <c r="I36" s="18"/>
      <c r="J36" s="18"/>
      <c r="K36" s="18"/>
      <c r="L36" s="18"/>
      <c r="M36" s="744"/>
      <c r="N36" s="18"/>
      <c r="O36" s="18"/>
      <c r="P36" s="18"/>
      <c r="U36" s="1257" t="s">
        <v>38</v>
      </c>
      <c r="V36" s="1257"/>
      <c r="W36" s="763"/>
      <c r="X36" s="1258" t="str">
        <f>IF(TITLE_IST_PUB_CHANGE="",IF(TITLE_IST_PUB="","",TITLE_IST_PUB),TITLE_IST_PUB_CHANGE)</f>
        <v/>
      </c>
      <c r="Y36" s="1258"/>
      <c r="Z36" s="1258"/>
      <c r="AA36" s="1258"/>
      <c r="AB36" s="1258"/>
      <c r="AC36" s="1258"/>
      <c r="AD36" s="1258"/>
      <c r="AE36" s="1258"/>
      <c r="AF36" s="12"/>
      <c r="AG36" s="1258" t="str">
        <f>IF(TITLE_IST_PUB_CHANGE="",IF(TITLE_IST_PUB="","",TITLE_IST_PUB),TITLE_IST_PUB_CHANGE)</f>
        <v/>
      </c>
      <c r="AH36" s="1258"/>
      <c r="AI36" s="1258"/>
      <c r="AJ36" s="1258"/>
      <c r="AK36" s="1258"/>
      <c r="AL36" s="1258"/>
      <c r="AM36" s="1258"/>
      <c r="AN36" s="1258"/>
      <c r="AO36" s="12"/>
      <c r="AP36" s="12"/>
      <c r="AQ36" s="161"/>
      <c r="AR36" s="69"/>
      <c r="AS36" s="69"/>
      <c r="AT36" s="69"/>
      <c r="AU36" s="69"/>
      <c r="AV36" s="69"/>
    </row>
    <row r="37" spans="1:48" ht="14.25" hidden="1" customHeight="1">
      <c r="R37" s="29"/>
      <c r="S37" s="29"/>
      <c r="T37" s="29"/>
      <c r="U37" s="729"/>
      <c r="V37" s="11"/>
      <c r="W37" s="11"/>
      <c r="X37" s="187"/>
      <c r="Y37" s="187"/>
      <c r="Z37" s="187"/>
      <c r="AA37" s="187"/>
      <c r="AB37" s="187"/>
      <c r="AC37" s="187"/>
      <c r="AD37" s="187"/>
      <c r="AE37" s="187"/>
      <c r="AF37" s="187"/>
      <c r="AG37" s="187"/>
      <c r="AH37" s="187"/>
      <c r="AI37" s="187"/>
      <c r="AJ37" s="187"/>
      <c r="AK37" s="187"/>
      <c r="AL37" s="187"/>
      <c r="AM37" s="187"/>
      <c r="AN37" s="187"/>
      <c r="AO37" s="187"/>
    </row>
    <row r="38" spans="1:48" s="36" customFormat="1" ht="18.75" hidden="1" customHeight="1">
      <c r="A38" s="18"/>
      <c r="B38" s="18"/>
      <c r="C38" s="18"/>
      <c r="D38" s="18"/>
      <c r="E38" s="18"/>
      <c r="F38" s="18"/>
      <c r="G38" s="18"/>
      <c r="H38" s="18"/>
      <c r="I38" s="18"/>
      <c r="J38" s="18"/>
      <c r="K38" s="18"/>
      <c r="L38" s="18"/>
      <c r="M38" s="744"/>
      <c r="N38" s="18"/>
      <c r="O38" s="18"/>
      <c r="P38" s="18"/>
      <c r="U38" s="1257" t="s">
        <v>424</v>
      </c>
      <c r="V38" s="1257"/>
      <c r="W38" s="763"/>
      <c r="X38" s="1267" t="str">
        <f>IF(TITLE_DATE_PR_CHANGE="",IF(TITLE_DATE_PR="","",TITLE_DATE_PR),TITLE_DATE_PR_CHANGE)</f>
        <v/>
      </c>
      <c r="Y38" s="1267"/>
      <c r="Z38" s="1267"/>
      <c r="AA38" s="1267"/>
      <c r="AB38" s="1267"/>
      <c r="AC38" s="1267"/>
      <c r="AD38" s="1267"/>
      <c r="AE38" s="1267"/>
      <c r="AF38" s="12"/>
      <c r="AG38" s="1267" t="str">
        <f>IF(TITLE_DATE_PR_CHANGE="",IF(TITLE_DATE_PR="","",TITLE_DATE_PR),TITLE_DATE_PR_CHANGE)</f>
        <v/>
      </c>
      <c r="AH38" s="1267"/>
      <c r="AI38" s="1267"/>
      <c r="AJ38" s="1267"/>
      <c r="AK38" s="1267"/>
      <c r="AL38" s="1267"/>
      <c r="AM38" s="1267"/>
      <c r="AN38" s="1267"/>
      <c r="AO38" s="12"/>
      <c r="AP38" s="12"/>
      <c r="AQ38" s="161"/>
      <c r="AR38" s="69"/>
      <c r="AS38" s="69"/>
      <c r="AT38" s="69"/>
      <c r="AU38" s="69"/>
      <c r="AV38" s="69"/>
    </row>
    <row r="39" spans="1:48" s="36" customFormat="1" ht="18.75" hidden="1" customHeight="1">
      <c r="A39" s="18"/>
      <c r="B39" s="18"/>
      <c r="C39" s="18"/>
      <c r="D39" s="18"/>
      <c r="E39" s="18"/>
      <c r="F39" s="18"/>
      <c r="G39" s="18"/>
      <c r="H39" s="18"/>
      <c r="I39" s="18"/>
      <c r="J39" s="18"/>
      <c r="K39" s="18"/>
      <c r="L39" s="18"/>
      <c r="M39" s="744"/>
      <c r="N39" s="18"/>
      <c r="O39" s="18"/>
      <c r="P39" s="18"/>
      <c r="U39" s="1257" t="s">
        <v>425</v>
      </c>
      <c r="V39" s="1257"/>
      <c r="W39" s="763"/>
      <c r="X39" s="1258" t="str">
        <f>IF(TITLE_NUMBER_PR_CHANGE="",IF(TITLE_NUMBER_PR="","",TITLE_NUMBER_PR),TITLE_NUMBER_PR_CHANGE)</f>
        <v/>
      </c>
      <c r="Y39" s="1258"/>
      <c r="Z39" s="1258"/>
      <c r="AA39" s="1258"/>
      <c r="AB39" s="1258"/>
      <c r="AC39" s="1258"/>
      <c r="AD39" s="1258"/>
      <c r="AE39" s="1258"/>
      <c r="AF39" s="12"/>
      <c r="AG39" s="1258" t="str">
        <f>IF(TITLE_NUMBER_PR_CHANGE="",IF(TITLE_NUMBER_PR="","",TITLE_NUMBER_PR),TITLE_NUMBER_PR_CHANGE)</f>
        <v/>
      </c>
      <c r="AH39" s="1258"/>
      <c r="AI39" s="1258"/>
      <c r="AJ39" s="1258"/>
      <c r="AK39" s="1258"/>
      <c r="AL39" s="1258"/>
      <c r="AM39" s="1258"/>
      <c r="AN39" s="1258"/>
      <c r="AO39" s="12"/>
      <c r="AP39" s="12"/>
      <c r="AQ39" s="161"/>
      <c r="AR39" s="69"/>
      <c r="AS39" s="69"/>
      <c r="AT39" s="69"/>
      <c r="AU39" s="69"/>
      <c r="AV39" s="69"/>
    </row>
    <row r="40" spans="1:48" s="36" customFormat="1" ht="0" hidden="1" customHeight="1">
      <c r="A40" s="18"/>
      <c r="B40" s="18"/>
      <c r="C40" s="18"/>
      <c r="D40" s="18"/>
      <c r="E40" s="18"/>
      <c r="F40" s="18"/>
      <c r="G40" s="18"/>
      <c r="H40" s="18"/>
      <c r="I40" s="18"/>
      <c r="J40" s="18"/>
      <c r="K40" s="18"/>
      <c r="L40" s="18"/>
      <c r="M40" s="744"/>
      <c r="N40" s="18"/>
      <c r="O40" s="18"/>
      <c r="P40" s="18"/>
      <c r="U40" s="12"/>
      <c r="V40" s="12"/>
      <c r="W40" s="77"/>
      <c r="X40" s="12"/>
      <c r="Y40" s="12"/>
      <c r="Z40" s="12"/>
      <c r="AA40" s="12"/>
      <c r="AB40" s="12"/>
      <c r="AC40" s="12"/>
      <c r="AD40" s="12"/>
      <c r="AE40" s="12"/>
      <c r="AF40" s="68" t="s">
        <v>426</v>
      </c>
      <c r="AG40" s="12"/>
      <c r="AH40" s="12"/>
      <c r="AI40" s="12"/>
      <c r="AJ40" s="12"/>
      <c r="AK40" s="12"/>
      <c r="AL40" s="12"/>
      <c r="AM40" s="12"/>
      <c r="AN40" s="12"/>
      <c r="AO40" s="68" t="s">
        <v>426</v>
      </c>
      <c r="AR40" s="69"/>
      <c r="AS40" s="69"/>
      <c r="AT40" s="69"/>
      <c r="AU40" s="69"/>
      <c r="AV40" s="69"/>
    </row>
    <row r="41" spans="1:48" ht="14.25" customHeight="1">
      <c r="R41" s="29"/>
      <c r="S41" s="29"/>
      <c r="T41" s="29"/>
      <c r="U41" s="729"/>
      <c r="V41" s="11"/>
      <c r="W41" s="709"/>
      <c r="X41" s="1259"/>
      <c r="Y41" s="1259"/>
      <c r="Z41" s="1259"/>
      <c r="AA41" s="1259"/>
      <c r="AB41" s="1259"/>
      <c r="AC41" s="1259"/>
      <c r="AD41" s="1259"/>
      <c r="AE41" s="1259"/>
      <c r="AF41" s="1259"/>
      <c r="AG41" s="1259"/>
      <c r="AH41" s="1259"/>
      <c r="AI41" s="1259"/>
      <c r="AJ41" s="1259"/>
      <c r="AK41" s="1259"/>
      <c r="AL41" s="1259"/>
      <c r="AM41" s="1259"/>
      <c r="AN41" s="1259"/>
      <c r="AO41" s="1259"/>
    </row>
    <row r="42" spans="1:48" ht="14.25" customHeight="1">
      <c r="R42" s="29"/>
      <c r="S42" s="29"/>
      <c r="T42" s="29"/>
      <c r="U42" s="1146" t="s">
        <v>299</v>
      </c>
      <c r="V42" s="1146"/>
      <c r="W42" s="1146"/>
      <c r="X42" s="1146"/>
      <c r="Y42" s="1146"/>
      <c r="Z42" s="1146"/>
      <c r="AA42" s="1146"/>
      <c r="AB42" s="1146"/>
      <c r="AC42" s="1146"/>
      <c r="AD42" s="1146"/>
      <c r="AE42" s="1146"/>
      <c r="AF42" s="1146"/>
      <c r="AG42" s="1146"/>
      <c r="AH42" s="1146"/>
      <c r="AI42" s="1146"/>
      <c r="AJ42" s="1146"/>
      <c r="AK42" s="1146"/>
      <c r="AL42" s="1146"/>
      <c r="AM42" s="1146"/>
      <c r="AN42" s="1146"/>
      <c r="AO42" s="1146"/>
      <c r="AP42" s="1146"/>
      <c r="AQ42" s="1146" t="s">
        <v>300</v>
      </c>
    </row>
    <row r="43" spans="1:48" ht="14.25" customHeight="1">
      <c r="R43" s="29"/>
      <c r="S43" s="29"/>
      <c r="T43" s="29"/>
      <c r="U43" s="1273" t="s">
        <v>84</v>
      </c>
      <c r="V43" s="1224" t="s">
        <v>427</v>
      </c>
      <c r="W43" s="170"/>
      <c r="X43" s="1274" t="s">
        <v>428</v>
      </c>
      <c r="Y43" s="1291"/>
      <c r="Z43" s="1291"/>
      <c r="AA43" s="1291"/>
      <c r="AB43" s="1291"/>
      <c r="AC43" s="1275"/>
      <c r="AD43" s="1275"/>
      <c r="AE43" s="1276"/>
      <c r="AF43" s="1277" t="s">
        <v>429</v>
      </c>
      <c r="AG43" s="1274" t="s">
        <v>428</v>
      </c>
      <c r="AH43" s="1291"/>
      <c r="AI43" s="1291"/>
      <c r="AJ43" s="1291"/>
      <c r="AK43" s="1291"/>
      <c r="AL43" s="1275"/>
      <c r="AM43" s="1275"/>
      <c r="AN43" s="1276"/>
      <c r="AO43" s="1277" t="s">
        <v>430</v>
      </c>
      <c r="AP43" s="1280" t="s">
        <v>431</v>
      </c>
      <c r="AQ43" s="1146"/>
    </row>
    <row r="44" spans="1:48" ht="33.75" customHeight="1">
      <c r="R44" s="29"/>
      <c r="S44" s="29"/>
      <c r="T44" s="29"/>
      <c r="U44" s="1273"/>
      <c r="V44" s="1224"/>
      <c r="W44" s="595"/>
      <c r="X44" s="1210" t="s">
        <v>454</v>
      </c>
      <c r="Y44" s="1146" t="s">
        <v>455</v>
      </c>
      <c r="Z44" s="1146"/>
      <c r="AA44" s="1146"/>
      <c r="AB44" s="1146"/>
      <c r="AC44" s="1210" t="s">
        <v>435</v>
      </c>
      <c r="AD44" s="1305"/>
      <c r="AE44" s="1211"/>
      <c r="AF44" s="1278"/>
      <c r="AG44" s="1210" t="s">
        <v>454</v>
      </c>
      <c r="AH44" s="1146" t="s">
        <v>455</v>
      </c>
      <c r="AI44" s="1146"/>
      <c r="AJ44" s="1146"/>
      <c r="AK44" s="1146"/>
      <c r="AL44" s="1210" t="s">
        <v>435</v>
      </c>
      <c r="AM44" s="1305"/>
      <c r="AN44" s="1211"/>
      <c r="AO44" s="1278"/>
      <c r="AP44" s="1281"/>
      <c r="AQ44" s="1146"/>
    </row>
    <row r="45" spans="1:48" ht="14.25" customHeight="1">
      <c r="R45" s="29"/>
      <c r="S45" s="29"/>
      <c r="T45" s="29"/>
      <c r="U45" s="1273"/>
      <c r="V45" s="1224"/>
      <c r="W45" s="595"/>
      <c r="X45" s="1212"/>
      <c r="Y45" s="1238" t="s">
        <v>456</v>
      </c>
      <c r="Z45" s="1233" t="s">
        <v>457</v>
      </c>
      <c r="AA45" s="1234"/>
      <c r="AB45" s="1235"/>
      <c r="AC45" s="1215"/>
      <c r="AD45" s="1306"/>
      <c r="AE45" s="1216"/>
      <c r="AF45" s="1278"/>
      <c r="AG45" s="1212"/>
      <c r="AH45" s="1238" t="s">
        <v>456</v>
      </c>
      <c r="AI45" s="1233" t="s">
        <v>457</v>
      </c>
      <c r="AJ45" s="1234"/>
      <c r="AK45" s="1235"/>
      <c r="AL45" s="1215"/>
      <c r="AM45" s="1306"/>
      <c r="AN45" s="1216"/>
      <c r="AO45" s="1278"/>
      <c r="AP45" s="1281"/>
      <c r="AQ45" s="1146"/>
    </row>
    <row r="46" spans="1:48" ht="25.5" customHeight="1">
      <c r="R46" s="29"/>
      <c r="S46" s="29"/>
      <c r="T46" s="29"/>
      <c r="U46" s="1273"/>
      <c r="V46" s="1224"/>
      <c r="W46" s="595"/>
      <c r="X46" s="1212"/>
      <c r="Y46" s="1307"/>
      <c r="Z46" s="1238" t="s">
        <v>458</v>
      </c>
      <c r="AA46" s="1233" t="s">
        <v>459</v>
      </c>
      <c r="AB46" s="1235"/>
      <c r="AC46" s="1238" t="s">
        <v>445</v>
      </c>
      <c r="AD46" s="1240" t="s">
        <v>446</v>
      </c>
      <c r="AE46" s="1242"/>
      <c r="AF46" s="1278"/>
      <c r="AG46" s="1212"/>
      <c r="AH46" s="1307"/>
      <c r="AI46" s="1238" t="s">
        <v>458</v>
      </c>
      <c r="AJ46" s="1233" t="s">
        <v>459</v>
      </c>
      <c r="AK46" s="1235"/>
      <c r="AL46" s="1238" t="s">
        <v>445</v>
      </c>
      <c r="AM46" s="1240" t="s">
        <v>446</v>
      </c>
      <c r="AN46" s="1242"/>
      <c r="AO46" s="1278"/>
      <c r="AP46" s="1281"/>
      <c r="AQ46" s="1146"/>
    </row>
    <row r="47" spans="1:48" ht="62.25" customHeight="1">
      <c r="A47" s="18"/>
      <c r="B47" s="18" t="s">
        <v>136</v>
      </c>
      <c r="C47" s="18" t="s">
        <v>137</v>
      </c>
      <c r="D47" s="18" t="s">
        <v>138</v>
      </c>
      <c r="E47" s="744" t="s">
        <v>436</v>
      </c>
      <c r="F47" s="744" t="s">
        <v>437</v>
      </c>
      <c r="G47" s="744" t="s">
        <v>438</v>
      </c>
      <c r="H47" s="744" t="s">
        <v>439</v>
      </c>
      <c r="I47" s="744" t="s">
        <v>440</v>
      </c>
      <c r="J47" s="744" t="s">
        <v>441</v>
      </c>
      <c r="K47" s="744" t="s">
        <v>442</v>
      </c>
      <c r="L47" s="744" t="s">
        <v>460</v>
      </c>
      <c r="M47" s="744" t="s">
        <v>417</v>
      </c>
      <c r="R47" s="29"/>
      <c r="S47" s="29"/>
      <c r="T47" s="29"/>
      <c r="U47" s="1273"/>
      <c r="V47" s="1224"/>
      <c r="W47" s="171"/>
      <c r="X47" s="1215"/>
      <c r="Y47" s="1239"/>
      <c r="Z47" s="1239"/>
      <c r="AA47" s="40" t="s">
        <v>461</v>
      </c>
      <c r="AB47" s="40" t="s">
        <v>462</v>
      </c>
      <c r="AC47" s="1239"/>
      <c r="AD47" s="1241"/>
      <c r="AE47" s="1243"/>
      <c r="AF47" s="1279"/>
      <c r="AG47" s="1215"/>
      <c r="AH47" s="1239"/>
      <c r="AI47" s="1239"/>
      <c r="AJ47" s="40" t="s">
        <v>461</v>
      </c>
      <c r="AK47" s="40" t="s">
        <v>462</v>
      </c>
      <c r="AL47" s="1239"/>
      <c r="AM47" s="1241"/>
      <c r="AN47" s="1243"/>
      <c r="AO47" s="1279"/>
      <c r="AP47" s="1282"/>
      <c r="AQ47" s="1146"/>
    </row>
    <row r="48" spans="1:48" s="201" customFormat="1" ht="11.25" hidden="1" customHeight="1">
      <c r="A48" s="18"/>
      <c r="B48" s="18"/>
      <c r="C48" s="18"/>
      <c r="D48" s="18"/>
      <c r="E48" s="18"/>
      <c r="F48" s="18"/>
      <c r="G48" s="18"/>
      <c r="H48" s="18"/>
      <c r="I48" s="18"/>
      <c r="J48" s="18"/>
      <c r="K48" s="18"/>
      <c r="L48" s="18"/>
      <c r="M48" s="744"/>
      <c r="N48" s="34"/>
      <c r="O48" s="34"/>
      <c r="P48" s="34"/>
      <c r="Q48" s="711"/>
      <c r="R48" s="712"/>
      <c r="S48" s="714">
        <v>1</v>
      </c>
      <c r="T48" s="714"/>
      <c r="U48" s="731" t="s">
        <v>105</v>
      </c>
      <c r="V48" s="715" t="s">
        <v>106</v>
      </c>
      <c r="W48" s="710" t="str">
        <f ca="1">OFFSET(W48,0,-1)</f>
        <v>2</v>
      </c>
      <c r="X48" s="716">
        <f ca="1">OFFSET(X48,0,-1)+1</f>
        <v>3</v>
      </c>
      <c r="Y48" s="284"/>
      <c r="Z48" s="284"/>
      <c r="AA48" s="284">
        <f ca="1">OFFSET(AA48,0,-1)+1</f>
        <v>1</v>
      </c>
      <c r="AB48" s="284">
        <f ca="1">OFFSET(AB48,0,-1)+1</f>
        <v>2</v>
      </c>
      <c r="AC48" s="716">
        <f ca="1">OFFSET(AC48,0,-1)+1</f>
        <v>3</v>
      </c>
      <c r="AD48" s="1272">
        <f ca="1">OFFSET(AD48,0,-1)+1</f>
        <v>4</v>
      </c>
      <c r="AE48" s="1272"/>
      <c r="AF48" s="716">
        <f ca="1">OFFSET(AF48,0,-2)+1</f>
        <v>5</v>
      </c>
      <c r="AG48" s="716">
        <f ca="1">OFFSET(AG48,0,-1)+1</f>
        <v>6</v>
      </c>
      <c r="AH48" s="716"/>
      <c r="AI48" s="716"/>
      <c r="AJ48" s="716">
        <f ca="1">OFFSET(AJ48,0,-1)+1</f>
        <v>1</v>
      </c>
      <c r="AK48" s="716">
        <f ca="1">OFFSET(AK48,0,-1)+1</f>
        <v>2</v>
      </c>
      <c r="AL48" s="716">
        <f ca="1">OFFSET(AL48,0,-1)+1</f>
        <v>3</v>
      </c>
      <c r="AM48" s="1272">
        <f ca="1">OFFSET(AM48,0,-1)+1</f>
        <v>4</v>
      </c>
      <c r="AN48" s="1272"/>
      <c r="AO48" s="716">
        <f ca="1">OFFSET(AO48,0,-2)+1</f>
        <v>5</v>
      </c>
      <c r="AP48" s="710">
        <f ca="1">OFFSET(AP48,0,-1)</f>
        <v>5</v>
      </c>
      <c r="AQ48" s="716">
        <f ca="1">OFFSET(AQ48,0,-1)+1</f>
        <v>6</v>
      </c>
      <c r="AR48" s="68"/>
      <c r="AS48" s="68"/>
      <c r="AT48" s="68"/>
      <c r="AU48" s="68"/>
      <c r="AV48" s="68"/>
    </row>
    <row r="49" spans="1:48" ht="21" customHeight="1">
      <c r="A49" s="721" t="s">
        <v>175</v>
      </c>
      <c r="B49" s="721"/>
      <c r="C49" s="721"/>
      <c r="D49" s="721"/>
      <c r="E49" s="1289">
        <v>1</v>
      </c>
      <c r="F49" s="721"/>
      <c r="G49" s="721"/>
      <c r="H49" s="721"/>
      <c r="I49" s="721"/>
      <c r="J49" s="721"/>
      <c r="K49" s="721"/>
      <c r="L49" s="721"/>
      <c r="M49" s="744"/>
      <c r="N49" s="334"/>
      <c r="O49" s="334"/>
      <c r="P49" s="334"/>
      <c r="R49" s="35"/>
      <c r="S49" s="35"/>
      <c r="T49" s="205"/>
      <c r="U49" s="698">
        <f>INDEX(PT_DIFFERENTIATION_NUM_NTAR,MATCH(A49,PT_DIFFERENTIATION_NTAR_ID,0))</f>
        <v>0</v>
      </c>
      <c r="V49" s="67" t="s">
        <v>124</v>
      </c>
      <c r="W49" s="169"/>
      <c r="X49" s="1251"/>
      <c r="Y49" s="1252"/>
      <c r="Z49" s="1252"/>
      <c r="AA49" s="1252"/>
      <c r="AB49" s="1252"/>
      <c r="AC49" s="1252"/>
      <c r="AD49" s="1252"/>
      <c r="AE49" s="1252"/>
      <c r="AF49" s="1253"/>
      <c r="AG49" s="1251" t="str">
        <f>INDEX(PT_DIFFERENTIATION_NTAR,MATCH(A49,PT_DIFFERENTIATION_NTAR_ID,0))</f>
        <v/>
      </c>
      <c r="AH49" s="1252"/>
      <c r="AI49" s="1252"/>
      <c r="AJ49" s="1252"/>
      <c r="AK49" s="1252"/>
      <c r="AL49" s="1252"/>
      <c r="AM49" s="1252"/>
      <c r="AN49" s="1252"/>
      <c r="AO49" s="1252"/>
      <c r="AP49" s="1253"/>
      <c r="AQ49" s="71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row>
    <row r="50" spans="1:48" ht="21" customHeight="1">
      <c r="A50" s="721" t="s">
        <v>175</v>
      </c>
      <c r="B50" s="721" t="s">
        <v>176</v>
      </c>
      <c r="C50" s="721"/>
      <c r="D50" s="721"/>
      <c r="E50" s="1290"/>
      <c r="F50" s="1289">
        <v>1</v>
      </c>
      <c r="G50" s="721"/>
      <c r="H50" s="721"/>
      <c r="I50" s="721"/>
      <c r="J50" s="721"/>
      <c r="K50" s="721"/>
      <c r="L50" s="721"/>
      <c r="M50" s="744"/>
      <c r="N50" s="334"/>
      <c r="O50" s="334"/>
      <c r="P50" s="334"/>
      <c r="Q50" s="59"/>
      <c r="R50" s="202"/>
      <c r="S50" s="12"/>
      <c r="T50" s="203"/>
      <c r="U50" s="698" t="str">
        <f>INDEX(PT_DIFFERENTIATION_NUM_TER,MATCH(B50,PT_DIFFERENTIATION_TER_ID,0))</f>
        <v>.</v>
      </c>
      <c r="V50" s="175" t="s">
        <v>396</v>
      </c>
      <c r="W50" s="169"/>
      <c r="X50" s="1251"/>
      <c r="Y50" s="1252"/>
      <c r="Z50" s="1252"/>
      <c r="AA50" s="1252"/>
      <c r="AB50" s="1252"/>
      <c r="AC50" s="1252"/>
      <c r="AD50" s="1252"/>
      <c r="AE50" s="1252"/>
      <c r="AF50" s="1253"/>
      <c r="AG50" s="1251" t="str">
        <f>INDEX(PT_DIFFERENTIATION_TER,MATCH(B50,PT_DIFFERENTIATION_TER_ID,0))</f>
        <v/>
      </c>
      <c r="AH50" s="1252"/>
      <c r="AI50" s="1252"/>
      <c r="AJ50" s="1252"/>
      <c r="AK50" s="1252"/>
      <c r="AL50" s="1252"/>
      <c r="AM50" s="1252"/>
      <c r="AN50" s="1252"/>
      <c r="AO50" s="1252"/>
      <c r="AP50" s="1253"/>
      <c r="AQ50" s="718" t="s">
        <v>397</v>
      </c>
      <c r="AS50" s="69"/>
      <c r="AT50" s="69" t="str">
        <f t="shared" si="2"/>
        <v>Территория действия тарифа</v>
      </c>
      <c r="AU50" s="69"/>
      <c r="AV50" s="69"/>
    </row>
    <row r="51" spans="1:48" ht="22.5" customHeight="1">
      <c r="A51" s="721" t="s">
        <v>175</v>
      </c>
      <c r="B51" s="721" t="s">
        <v>176</v>
      </c>
      <c r="C51" s="721" t="s">
        <v>177</v>
      </c>
      <c r="D51" s="721"/>
      <c r="E51" s="1290"/>
      <c r="F51" s="1290"/>
      <c r="G51" s="1289">
        <v>1</v>
      </c>
      <c r="H51" s="721"/>
      <c r="I51" s="721"/>
      <c r="J51" s="721"/>
      <c r="K51" s="721"/>
      <c r="L51" s="721"/>
      <c r="M51" s="744"/>
      <c r="N51" s="334"/>
      <c r="O51" s="334"/>
      <c r="P51" s="334"/>
      <c r="Q51" s="204"/>
      <c r="R51" s="202"/>
      <c r="S51" s="12"/>
      <c r="T51" s="203"/>
      <c r="U51" s="698" t="str">
        <f>INDEX(PT_DIFFERENTIATION_NUM_CS,MATCH(C51,PT_DIFFERENTIATION_CS_ID,0))</f>
        <v>..</v>
      </c>
      <c r="V51" s="176" t="s">
        <v>398</v>
      </c>
      <c r="W51" s="169"/>
      <c r="X51" s="1251"/>
      <c r="Y51" s="1252"/>
      <c r="Z51" s="1252"/>
      <c r="AA51" s="1252"/>
      <c r="AB51" s="1252"/>
      <c r="AC51" s="1252"/>
      <c r="AD51" s="1252"/>
      <c r="AE51" s="1252"/>
      <c r="AF51" s="1253"/>
      <c r="AG51" s="1251" t="str">
        <f>INDEX(PT_DIFFERENTIATION_CS,MATCH(C51,PT_DIFFERENTIATION_CS_ID,0))</f>
        <v/>
      </c>
      <c r="AH51" s="1252"/>
      <c r="AI51" s="1252"/>
      <c r="AJ51" s="1252"/>
      <c r="AK51" s="1252"/>
      <c r="AL51" s="1252"/>
      <c r="AM51" s="1252"/>
      <c r="AN51" s="1252"/>
      <c r="AO51" s="1252"/>
      <c r="AP51" s="1253"/>
      <c r="AQ51" s="718" t="s">
        <v>399</v>
      </c>
      <c r="AS51" s="69"/>
      <c r="AT51" s="69" t="str">
        <f t="shared" si="2"/>
        <v xml:space="preserve">Наименование системы теплоснабжения </v>
      </c>
      <c r="AU51" s="69"/>
      <c r="AV51" s="69"/>
    </row>
    <row r="52" spans="1:48" ht="21" customHeight="1">
      <c r="A52" s="721" t="s">
        <v>175</v>
      </c>
      <c r="B52" s="721" t="s">
        <v>176</v>
      </c>
      <c r="C52" s="721" t="s">
        <v>177</v>
      </c>
      <c r="D52" s="721" t="s">
        <v>178</v>
      </c>
      <c r="E52" s="1290"/>
      <c r="F52" s="1290"/>
      <c r="G52" s="1290"/>
      <c r="H52" s="1289">
        <v>1</v>
      </c>
      <c r="I52" s="721"/>
      <c r="J52" s="721"/>
      <c r="K52" s="721"/>
      <c r="L52" s="721"/>
      <c r="M52" s="744"/>
      <c r="N52" s="334"/>
      <c r="O52" s="334"/>
      <c r="P52" s="334"/>
      <c r="Q52" s="204"/>
      <c r="R52" s="202"/>
      <c r="S52" s="12"/>
      <c r="T52" s="203"/>
      <c r="U52" s="698" t="str">
        <f>INDEX(PT_DIFFERENTIATION_NUM_IST_TE,MATCH(D52,PT_DIFFERENTIATION_IST_TE_ID,0))</f>
        <v>...</v>
      </c>
      <c r="V52" s="177" t="s">
        <v>400</v>
      </c>
      <c r="W52" s="169"/>
      <c r="X52" s="1251"/>
      <c r="Y52" s="1252"/>
      <c r="Z52" s="1252"/>
      <c r="AA52" s="1252"/>
      <c r="AB52" s="1252"/>
      <c r="AC52" s="1252"/>
      <c r="AD52" s="1252"/>
      <c r="AE52" s="1252"/>
      <c r="AF52" s="1253"/>
      <c r="AG52" s="1251" t="str">
        <f>INDEX(PT_DIFFERENTIATION_IST_TE,MATCH(D52,PT_DIFFERENTIATION_IST_TE_ID,0))</f>
        <v/>
      </c>
      <c r="AH52" s="1252"/>
      <c r="AI52" s="1252"/>
      <c r="AJ52" s="1252"/>
      <c r="AK52" s="1252"/>
      <c r="AL52" s="1252"/>
      <c r="AM52" s="1252"/>
      <c r="AN52" s="1252"/>
      <c r="AO52" s="1252"/>
      <c r="AP52" s="1253"/>
      <c r="AQ52" s="718" t="s">
        <v>401</v>
      </c>
      <c r="AS52" s="69"/>
      <c r="AT52" s="69" t="str">
        <f t="shared" si="2"/>
        <v xml:space="preserve">Источник тепловой энергии  </v>
      </c>
      <c r="AU52" s="69"/>
      <c r="AV52" s="69"/>
    </row>
    <row r="53" spans="1:48" s="68" customFormat="1" ht="0" hidden="1" customHeight="1">
      <c r="A53" s="764" t="s">
        <v>175</v>
      </c>
      <c r="B53" s="764" t="s">
        <v>176</v>
      </c>
      <c r="C53" s="764" t="s">
        <v>177</v>
      </c>
      <c r="D53" s="764" t="s">
        <v>178</v>
      </c>
      <c r="E53" s="1290"/>
      <c r="F53" s="1290"/>
      <c r="G53" s="1290"/>
      <c r="H53" s="1290"/>
      <c r="I53" s="1146" t="str">
        <f>U52&amp;".1"</f>
        <v>....1</v>
      </c>
      <c r="J53" s="764"/>
      <c r="K53" s="764"/>
      <c r="L53" s="764"/>
      <c r="M53" s="765" t="s">
        <v>402</v>
      </c>
      <c r="N53" s="711"/>
      <c r="O53" s="711"/>
      <c r="P53" s="711"/>
      <c r="Q53" s="1264">
        <v>1</v>
      </c>
      <c r="R53" s="120"/>
      <c r="S53" s="120"/>
      <c r="T53" s="206"/>
      <c r="U53" s="353"/>
      <c r="V53" s="769"/>
      <c r="W53" s="770"/>
      <c r="X53" s="1294"/>
      <c r="Y53" s="1295"/>
      <c r="Z53" s="1295"/>
      <c r="AA53" s="1295"/>
      <c r="AB53" s="1295"/>
      <c r="AC53" s="1295"/>
      <c r="AD53" s="1295"/>
      <c r="AE53" s="1295"/>
      <c r="AF53" s="1296"/>
      <c r="AG53" s="1294"/>
      <c r="AH53" s="1295"/>
      <c r="AI53" s="1295"/>
      <c r="AJ53" s="1295"/>
      <c r="AK53" s="1295"/>
      <c r="AL53" s="1295"/>
      <c r="AM53" s="1295"/>
      <c r="AN53" s="1295"/>
      <c r="AO53" s="1295"/>
      <c r="AP53" s="1296"/>
      <c r="AQ53" s="771"/>
      <c r="AS53" s="69"/>
      <c r="AT53" s="69" t="str">
        <f t="shared" si="2"/>
        <v/>
      </c>
      <c r="AU53" s="69"/>
      <c r="AV53" s="69"/>
    </row>
    <row r="54" spans="1:48" ht="21" customHeight="1">
      <c r="A54" s="721" t="s">
        <v>175</v>
      </c>
      <c r="B54" s="721" t="s">
        <v>176</v>
      </c>
      <c r="C54" s="721" t="s">
        <v>177</v>
      </c>
      <c r="D54" s="721" t="s">
        <v>178</v>
      </c>
      <c r="E54" s="1290"/>
      <c r="F54" s="1290"/>
      <c r="G54" s="1290"/>
      <c r="H54" s="1290"/>
      <c r="I54" s="1117"/>
      <c r="J54" s="1146" t="str">
        <f>I53&amp;".1"</f>
        <v>....1.1</v>
      </c>
      <c r="K54" s="721"/>
      <c r="L54" s="721"/>
      <c r="M54" s="744" t="s">
        <v>405</v>
      </c>
      <c r="Q54" s="1264"/>
      <c r="R54" s="1264">
        <v>1</v>
      </c>
      <c r="S54" s="68"/>
      <c r="T54" s="207"/>
      <c r="U54" s="698" t="str">
        <f>$J54</f>
        <v>....1.1</v>
      </c>
      <c r="V54" s="163" t="s">
        <v>406</v>
      </c>
      <c r="W54" s="169"/>
      <c r="X54" s="1254"/>
      <c r="Y54" s="1255"/>
      <c r="Z54" s="1255"/>
      <c r="AA54" s="1255"/>
      <c r="AB54" s="1255"/>
      <c r="AC54" s="1247"/>
      <c r="AD54" s="1247"/>
      <c r="AE54" s="1247"/>
      <c r="AF54" s="1304"/>
      <c r="AG54" s="1254"/>
      <c r="AH54" s="1255"/>
      <c r="AI54" s="1255"/>
      <c r="AJ54" s="1255"/>
      <c r="AK54" s="1255"/>
      <c r="AL54" s="1255"/>
      <c r="AM54" s="1255"/>
      <c r="AN54" s="1255"/>
      <c r="AO54" s="1255"/>
      <c r="AP54" s="1256"/>
      <c r="AQ54" s="718" t="s">
        <v>407</v>
      </c>
      <c r="AS54" s="69"/>
      <c r="AT54" s="69" t="str">
        <f t="shared" si="2"/>
        <v>Группа потребителей</v>
      </c>
      <c r="AU54" s="69"/>
      <c r="AV54" s="69"/>
    </row>
    <row r="55" spans="1:48" ht="21" customHeight="1">
      <c r="A55" s="721" t="s">
        <v>175</v>
      </c>
      <c r="B55" s="721" t="s">
        <v>176</v>
      </c>
      <c r="C55" s="721" t="s">
        <v>177</v>
      </c>
      <c r="D55" s="721" t="s">
        <v>178</v>
      </c>
      <c r="E55" s="1290"/>
      <c r="F55" s="1290"/>
      <c r="G55" s="1290"/>
      <c r="H55" s="1290"/>
      <c r="I55" s="1117"/>
      <c r="J55" s="1117"/>
      <c r="K55" s="1146" t="str">
        <f>J54&amp;".1"</f>
        <v>....1.1.1</v>
      </c>
      <c r="L55" s="59"/>
      <c r="M55" s="744" t="s">
        <v>408</v>
      </c>
      <c r="Q55" s="1264"/>
      <c r="R55" s="1264"/>
      <c r="S55" s="68">
        <v>1</v>
      </c>
      <c r="T55" s="207"/>
      <c r="U55" s="698" t="str">
        <f>$K55</f>
        <v>....1.1.1</v>
      </c>
      <c r="V55" s="755"/>
      <c r="W55" s="169"/>
      <c r="X55" s="304"/>
      <c r="Y55" s="304"/>
      <c r="Z55" s="304"/>
      <c r="AA55" s="304"/>
      <c r="AB55" s="788"/>
      <c r="AC55" s="1268"/>
      <c r="AD55" s="1127" t="s">
        <v>62</v>
      </c>
      <c r="AE55" s="1268"/>
      <c r="AF55" s="1127" t="s">
        <v>62</v>
      </c>
      <c r="AG55" s="790"/>
      <c r="AH55" s="304"/>
      <c r="AI55" s="304"/>
      <c r="AJ55" s="304"/>
      <c r="AK55" s="717"/>
      <c r="AL55" s="1268"/>
      <c r="AM55" s="1127" t="s">
        <v>62</v>
      </c>
      <c r="AN55" s="1268"/>
      <c r="AO55" s="1127" t="s">
        <v>62</v>
      </c>
      <c r="AP55" s="756"/>
      <c r="AQ55" s="743" t="s">
        <v>451</v>
      </c>
      <c r="AR55" s="68" t="e">
        <f ca="1">STRCHECKDATE(X57:AP57)</f>
        <v>#NAME?</v>
      </c>
      <c r="AS55" s="69"/>
      <c r="AT55" s="69" t="str">
        <f t="shared" si="2"/>
        <v/>
      </c>
      <c r="AU55" s="69"/>
      <c r="AV55" s="69"/>
    </row>
    <row r="56" spans="1:48" ht="11.25" customHeight="1">
      <c r="A56" s="721" t="s">
        <v>175</v>
      </c>
      <c r="B56" s="721" t="s">
        <v>176</v>
      </c>
      <c r="C56" s="721" t="s">
        <v>177</v>
      </c>
      <c r="D56" s="721" t="s">
        <v>178</v>
      </c>
      <c r="E56" s="1290"/>
      <c r="F56" s="1290"/>
      <c r="G56" s="1290"/>
      <c r="H56" s="1290"/>
      <c r="I56" s="1117"/>
      <c r="J56" s="1117"/>
      <c r="K56" s="1117"/>
      <c r="L56" s="1146" t="str">
        <f>K55&amp;".1"</f>
        <v>....1.1.1.1</v>
      </c>
      <c r="M56" s="744"/>
      <c r="Q56" s="1264"/>
      <c r="R56" s="1264"/>
      <c r="S56" s="68">
        <v>1</v>
      </c>
      <c r="T56" s="207"/>
      <c r="U56" s="698" t="str">
        <f>$L56</f>
        <v>....1.1.1.1</v>
      </c>
      <c r="V56" s="777"/>
      <c r="W56" s="169"/>
      <c r="X56" s="189"/>
      <c r="Y56" s="304"/>
      <c r="Z56" s="304"/>
      <c r="AA56" s="304"/>
      <c r="AB56" s="788"/>
      <c r="AC56" s="1269"/>
      <c r="AD56" s="1127"/>
      <c r="AE56" s="1269"/>
      <c r="AF56" s="1127"/>
      <c r="AG56" s="790"/>
      <c r="AH56" s="304"/>
      <c r="AI56" s="304"/>
      <c r="AJ56" s="304"/>
      <c r="AK56" s="717"/>
      <c r="AL56" s="1269"/>
      <c r="AM56" s="1127"/>
      <c r="AN56" s="1269"/>
      <c r="AO56" s="1127"/>
      <c r="AP56" s="756"/>
      <c r="AQ56" s="1260" t="s">
        <v>452</v>
      </c>
      <c r="AR56" s="68" t="e">
        <f ca="1">STRCHECKDATE(X58:AP58)</f>
        <v>#NAME?</v>
      </c>
      <c r="AS56" s="69"/>
      <c r="AT56" s="69" t="str">
        <f t="shared" si="2"/>
        <v/>
      </c>
      <c r="AU56" s="69"/>
      <c r="AV56" s="69"/>
    </row>
    <row r="57" spans="1:48" ht="0" hidden="1" customHeight="1">
      <c r="A57" s="721" t="s">
        <v>175</v>
      </c>
      <c r="B57" s="721" t="s">
        <v>176</v>
      </c>
      <c r="C57" s="721" t="s">
        <v>177</v>
      </c>
      <c r="D57" s="721" t="s">
        <v>178</v>
      </c>
      <c r="E57" s="1290"/>
      <c r="F57" s="1290"/>
      <c r="G57" s="1290"/>
      <c r="H57" s="1290"/>
      <c r="I57" s="1117"/>
      <c r="J57" s="1117"/>
      <c r="K57" s="1117"/>
      <c r="L57" s="1146"/>
      <c r="M57" s="744"/>
      <c r="Q57" s="1264"/>
      <c r="R57" s="1264"/>
      <c r="S57" s="68"/>
      <c r="T57" s="207"/>
      <c r="U57" s="65"/>
      <c r="V57" s="169"/>
      <c r="W57" s="169"/>
      <c r="X57" s="189"/>
      <c r="Y57" s="189"/>
      <c r="Z57" s="189"/>
      <c r="AA57" s="189"/>
      <c r="AB57" s="789" t="str">
        <f>AC55&amp;"-"&amp;AE55</f>
        <v>-</v>
      </c>
      <c r="AC57" s="1269"/>
      <c r="AD57" s="1127"/>
      <c r="AE57" s="1269"/>
      <c r="AF57" s="1127"/>
      <c r="AG57" s="768"/>
      <c r="AH57" s="189"/>
      <c r="AI57" s="189"/>
      <c r="AJ57" s="189"/>
      <c r="AK57" s="190" t="str">
        <f>AL55&amp;"-"&amp;AN55</f>
        <v>-</v>
      </c>
      <c r="AL57" s="1269"/>
      <c r="AM57" s="1127"/>
      <c r="AN57" s="1269"/>
      <c r="AO57" s="1127"/>
      <c r="AP57" s="757"/>
      <c r="AQ57" s="1261"/>
      <c r="AS57" s="69"/>
      <c r="AT57" s="69" t="str">
        <f t="shared" si="2"/>
        <v/>
      </c>
      <c r="AU57" s="69"/>
      <c r="AV57" s="69"/>
    </row>
    <row r="58" spans="1:48" ht="11.25" customHeight="1">
      <c r="A58" s="721" t="s">
        <v>175</v>
      </c>
      <c r="B58" s="721" t="s">
        <v>176</v>
      </c>
      <c r="C58" s="721" t="s">
        <v>177</v>
      </c>
      <c r="D58" s="721" t="s">
        <v>178</v>
      </c>
      <c r="E58" s="1290"/>
      <c r="F58" s="1290"/>
      <c r="G58" s="1290"/>
      <c r="H58" s="1290"/>
      <c r="I58" s="1117"/>
      <c r="J58" s="1117"/>
      <c r="K58" s="1146"/>
      <c r="L58" s="721"/>
      <c r="M58" s="744"/>
      <c r="Q58" s="1264"/>
      <c r="R58" s="1264"/>
      <c r="S58" s="120"/>
      <c r="T58" s="206"/>
      <c r="U58" s="732"/>
      <c r="V58" s="165" t="s">
        <v>453</v>
      </c>
      <c r="W58" s="211"/>
      <c r="X58" s="211"/>
      <c r="Y58" s="211"/>
      <c r="Z58" s="211"/>
      <c r="AA58" s="211"/>
      <c r="AB58" s="211"/>
      <c r="AC58" s="1269"/>
      <c r="AD58" s="1127"/>
      <c r="AE58" s="1269"/>
      <c r="AF58" s="1127"/>
      <c r="AG58" s="211"/>
      <c r="AH58" s="211"/>
      <c r="AI58" s="211"/>
      <c r="AJ58" s="211"/>
      <c r="AK58" s="211"/>
      <c r="AL58" s="1269"/>
      <c r="AM58" s="1127"/>
      <c r="AN58" s="1269"/>
      <c r="AO58" s="1127"/>
      <c r="AP58" s="188"/>
      <c r="AQ58" s="1261"/>
      <c r="AS58" s="69"/>
      <c r="AT58" s="69" t="str">
        <f t="shared" si="2"/>
        <v>Добавить наименование поставщика</v>
      </c>
      <c r="AU58" s="69"/>
      <c r="AV58" s="69"/>
    </row>
    <row r="59" spans="1:48" ht="11.25" customHeight="1">
      <c r="A59" s="721" t="s">
        <v>175</v>
      </c>
      <c r="B59" s="721" t="s">
        <v>176</v>
      </c>
      <c r="C59" s="721" t="s">
        <v>177</v>
      </c>
      <c r="D59" s="721" t="s">
        <v>178</v>
      </c>
      <c r="E59" s="1290"/>
      <c r="F59" s="1290"/>
      <c r="G59" s="1290"/>
      <c r="H59" s="1290"/>
      <c r="I59" s="1117"/>
      <c r="J59" s="1146"/>
      <c r="K59" s="721"/>
      <c r="L59" s="721"/>
      <c r="M59" s="744"/>
      <c r="Q59" s="1264"/>
      <c r="R59" s="1264"/>
      <c r="S59" s="120"/>
      <c r="T59" s="206"/>
      <c r="U59" s="732"/>
      <c r="V59" s="164" t="s">
        <v>410</v>
      </c>
      <c r="W59" s="211"/>
      <c r="X59" s="211"/>
      <c r="Y59" s="211"/>
      <c r="Z59" s="211"/>
      <c r="AA59" s="211"/>
      <c r="AB59" s="211"/>
      <c r="AC59" s="791"/>
      <c r="AD59" s="791"/>
      <c r="AE59" s="791"/>
      <c r="AF59" s="791"/>
      <c r="AG59" s="211"/>
      <c r="AH59" s="211"/>
      <c r="AI59" s="211"/>
      <c r="AJ59" s="211"/>
      <c r="AK59" s="211"/>
      <c r="AL59" s="211"/>
      <c r="AM59" s="211"/>
      <c r="AN59" s="211"/>
      <c r="AO59" s="211"/>
      <c r="AP59" s="188"/>
      <c r="AQ59" s="1262"/>
      <c r="AS59" s="69"/>
      <c r="AT59" s="69" t="str">
        <f t="shared" si="2"/>
        <v>Добавить вид теплоносителя (параметры теплоносителя)</v>
      </c>
      <c r="AU59" s="69"/>
      <c r="AV59" s="69"/>
    </row>
    <row r="60" spans="1:48" ht="11.25" customHeight="1">
      <c r="A60" s="721" t="s">
        <v>175</v>
      </c>
      <c r="B60" s="721" t="s">
        <v>176</v>
      </c>
      <c r="C60" s="721" t="s">
        <v>177</v>
      </c>
      <c r="D60" s="721" t="s">
        <v>178</v>
      </c>
      <c r="E60" s="1290"/>
      <c r="F60" s="1290"/>
      <c r="G60" s="1290"/>
      <c r="H60" s="1290"/>
      <c r="I60" s="1146"/>
      <c r="J60" s="721"/>
      <c r="K60" s="721"/>
      <c r="L60" s="721"/>
      <c r="M60" s="744"/>
      <c r="Q60" s="1264"/>
      <c r="R60" s="120"/>
      <c r="S60" s="120"/>
      <c r="T60" s="206"/>
      <c r="U60" s="732"/>
      <c r="V60" s="209" t="s">
        <v>411</v>
      </c>
      <c r="W60" s="211"/>
      <c r="X60" s="211"/>
      <c r="Y60" s="211"/>
      <c r="Z60" s="211"/>
      <c r="AA60" s="211"/>
      <c r="AB60" s="211"/>
      <c r="AC60" s="211"/>
      <c r="AD60" s="211"/>
      <c r="AE60" s="211"/>
      <c r="AF60" s="210"/>
      <c r="AG60" s="211"/>
      <c r="AH60" s="211"/>
      <c r="AI60" s="211"/>
      <c r="AJ60" s="211"/>
      <c r="AK60" s="211"/>
      <c r="AL60" s="211"/>
      <c r="AM60" s="211"/>
      <c r="AN60" s="211"/>
      <c r="AO60" s="210"/>
      <c r="AP60" s="211"/>
      <c r="AQ60" s="172"/>
      <c r="AS60" s="69"/>
      <c r="AT60" s="69" t="str">
        <f t="shared" si="2"/>
        <v>Добавить группу потребителей</v>
      </c>
      <c r="AU60" s="69"/>
      <c r="AV60" s="69"/>
    </row>
    <row r="61" spans="1:48" ht="0" hidden="1" customHeight="1">
      <c r="A61" s="721" t="s">
        <v>175</v>
      </c>
      <c r="B61" s="721" t="s">
        <v>176</v>
      </c>
      <c r="C61" s="721" t="s">
        <v>177</v>
      </c>
      <c r="D61" s="721" t="s">
        <v>178</v>
      </c>
      <c r="E61" s="1290"/>
      <c r="F61" s="1290"/>
      <c r="G61" s="1290"/>
      <c r="H61" s="1289"/>
      <c r="I61" s="721"/>
      <c r="J61" s="721"/>
      <c r="K61" s="721"/>
      <c r="L61" s="721"/>
      <c r="M61" s="744"/>
      <c r="N61" s="334"/>
      <c r="O61" s="334"/>
      <c r="P61" s="12"/>
      <c r="Q61" s="35"/>
      <c r="R61" s="214"/>
      <c r="S61" s="205"/>
      <c r="T61" s="35"/>
      <c r="U61" s="772"/>
      <c r="V61" s="773"/>
      <c r="W61" s="774"/>
      <c r="X61" s="774"/>
      <c r="Y61" s="774"/>
      <c r="Z61" s="774"/>
      <c r="AA61" s="774"/>
      <c r="AB61" s="774"/>
      <c r="AC61" s="774"/>
      <c r="AD61" s="774"/>
      <c r="AE61" s="774"/>
      <c r="AF61" s="774"/>
      <c r="AG61" s="774"/>
      <c r="AH61" s="774"/>
      <c r="AI61" s="774"/>
      <c r="AJ61" s="774"/>
      <c r="AK61" s="774"/>
      <c r="AL61" s="774"/>
      <c r="AM61" s="774"/>
      <c r="AN61" s="774"/>
      <c r="AO61" s="774"/>
      <c r="AP61" s="774"/>
      <c r="AQ61" s="775"/>
      <c r="AS61" s="69"/>
      <c r="AT61" s="69" t="str">
        <f t="shared" si="2"/>
        <v/>
      </c>
      <c r="AU61" s="69"/>
      <c r="AV61" s="69"/>
    </row>
    <row r="62" spans="1:48" s="68" customFormat="1" ht="0" hidden="1" customHeight="1">
      <c r="A62" s="764" t="s">
        <v>175</v>
      </c>
      <c r="B62" s="764" t="s">
        <v>176</v>
      </c>
      <c r="C62" s="764" t="s">
        <v>177</v>
      </c>
      <c r="D62" s="764"/>
      <c r="E62" s="1290"/>
      <c r="F62" s="1290"/>
      <c r="G62" s="1289"/>
      <c r="H62" s="764"/>
      <c r="I62" s="764"/>
      <c r="J62" s="764"/>
      <c r="K62" s="764"/>
      <c r="L62" s="764"/>
      <c r="M62" s="765"/>
      <c r="N62" s="766"/>
      <c r="O62" s="766"/>
      <c r="P62" s="201"/>
      <c r="Q62" s="102"/>
      <c r="R62" s="745"/>
      <c r="S62" s="102"/>
      <c r="T62" s="102"/>
      <c r="U62" s="750"/>
      <c r="V62" s="752" t="s">
        <v>413</v>
      </c>
      <c r="W62" s="311"/>
      <c r="X62" s="311"/>
      <c r="Y62" s="311"/>
      <c r="Z62" s="311"/>
      <c r="AA62" s="311"/>
      <c r="AB62" s="311"/>
      <c r="AC62" s="311"/>
      <c r="AD62" s="311"/>
      <c r="AE62" s="311"/>
      <c r="AF62" s="311"/>
      <c r="AG62" s="311"/>
      <c r="AH62" s="311"/>
      <c r="AI62" s="311"/>
      <c r="AJ62" s="311"/>
      <c r="AK62" s="311"/>
      <c r="AL62" s="311"/>
      <c r="AM62" s="311"/>
      <c r="AN62" s="311"/>
      <c r="AO62" s="311"/>
      <c r="AP62" s="311"/>
      <c r="AQ62" s="311"/>
      <c r="AS62" s="69"/>
      <c r="AT62" s="69" t="str">
        <f t="shared" si="2"/>
        <v>Добавить источник для дифференциации</v>
      </c>
      <c r="AU62" s="69"/>
      <c r="AV62" s="69"/>
    </row>
    <row r="63" spans="1:48" s="68" customFormat="1" ht="0" hidden="1" customHeight="1">
      <c r="A63" s="764" t="s">
        <v>175</v>
      </c>
      <c r="B63" s="764" t="s">
        <v>176</v>
      </c>
      <c r="C63" s="764"/>
      <c r="D63" s="764"/>
      <c r="E63" s="1290"/>
      <c r="F63" s="1289"/>
      <c r="G63" s="764"/>
      <c r="H63" s="764"/>
      <c r="I63" s="764"/>
      <c r="J63" s="764"/>
      <c r="K63" s="764"/>
      <c r="L63" s="764"/>
      <c r="M63" s="765"/>
      <c r="N63" s="767"/>
      <c r="O63" s="767"/>
      <c r="P63" s="201"/>
      <c r="Q63" s="102"/>
      <c r="R63" s="745"/>
      <c r="S63" s="102"/>
      <c r="T63" s="102"/>
      <c r="U63" s="750"/>
      <c r="V63" s="752" t="s">
        <v>414</v>
      </c>
      <c r="W63" s="311"/>
      <c r="X63" s="311"/>
      <c r="Y63" s="311"/>
      <c r="Z63" s="311"/>
      <c r="AA63" s="311"/>
      <c r="AB63" s="311"/>
      <c r="AC63" s="311"/>
      <c r="AD63" s="311"/>
      <c r="AE63" s="311"/>
      <c r="AF63" s="311"/>
      <c r="AG63" s="311"/>
      <c r="AH63" s="311"/>
      <c r="AI63" s="311"/>
      <c r="AJ63" s="311"/>
      <c r="AK63" s="311"/>
      <c r="AL63" s="311"/>
      <c r="AM63" s="311"/>
      <c r="AN63" s="311"/>
      <c r="AO63" s="311"/>
      <c r="AP63" s="311"/>
      <c r="AQ63" s="311"/>
      <c r="AS63" s="69"/>
      <c r="AT63" s="69" t="str">
        <f t="shared" si="2"/>
        <v>Добавить централизованную систему для дифференциации</v>
      </c>
      <c r="AU63" s="69"/>
      <c r="AV63" s="69"/>
    </row>
    <row r="64" spans="1:48" s="68" customFormat="1" ht="0" hidden="1" customHeight="1">
      <c r="A64" s="764" t="s">
        <v>175</v>
      </c>
      <c r="B64" s="764"/>
      <c r="C64" s="764"/>
      <c r="D64" s="764"/>
      <c r="E64" s="1289"/>
      <c r="F64" s="764"/>
      <c r="G64" s="764"/>
      <c r="H64" s="764"/>
      <c r="I64" s="764"/>
      <c r="J64" s="764"/>
      <c r="K64" s="764"/>
      <c r="L64" s="764"/>
      <c r="M64" s="765"/>
      <c r="N64" s="767"/>
      <c r="O64" s="767"/>
      <c r="P64" s="201"/>
      <c r="Q64" s="102"/>
      <c r="R64" s="745"/>
      <c r="S64" s="102"/>
      <c r="T64" s="102"/>
      <c r="U64" s="750"/>
      <c r="V64" s="752" t="s">
        <v>415</v>
      </c>
      <c r="W64" s="311"/>
      <c r="X64" s="311"/>
      <c r="Y64" s="311"/>
      <c r="Z64" s="311"/>
      <c r="AA64" s="311"/>
      <c r="AB64" s="311"/>
      <c r="AC64" s="311"/>
      <c r="AD64" s="311"/>
      <c r="AE64" s="311"/>
      <c r="AF64" s="311"/>
      <c r="AG64" s="311"/>
      <c r="AH64" s="311"/>
      <c r="AI64" s="311"/>
      <c r="AJ64" s="311"/>
      <c r="AK64" s="311"/>
      <c r="AL64" s="311"/>
      <c r="AM64" s="311"/>
      <c r="AN64" s="311"/>
      <c r="AO64" s="311"/>
      <c r="AP64" s="311"/>
      <c r="AQ64" s="311"/>
      <c r="AS64" s="69"/>
      <c r="AT64" s="69" t="str">
        <f t="shared" si="2"/>
        <v>Добавить территорию для дифференциации</v>
      </c>
      <c r="AU64" s="69"/>
      <c r="AV64" s="69"/>
    </row>
    <row r="65" spans="1:48" s="68" customFormat="1" ht="5.25" customHeight="1">
      <c r="A65" s="764"/>
      <c r="B65" s="764"/>
      <c r="C65" s="764"/>
      <c r="D65" s="764"/>
      <c r="E65" s="764"/>
      <c r="F65" s="764"/>
      <c r="G65" s="764"/>
      <c r="H65" s="764"/>
      <c r="I65" s="764"/>
      <c r="J65" s="764"/>
      <c r="K65" s="764"/>
      <c r="L65" s="764"/>
      <c r="M65" s="765"/>
      <c r="N65" s="767"/>
      <c r="O65" s="767"/>
      <c r="P65" s="201"/>
      <c r="Q65" s="102"/>
      <c r="R65" s="745"/>
      <c r="S65" s="102"/>
      <c r="T65" s="102"/>
      <c r="U65" s="750"/>
      <c r="V65" s="752" t="s">
        <v>447</v>
      </c>
      <c r="W65" s="311"/>
      <c r="X65" s="311"/>
      <c r="Y65" s="311"/>
      <c r="Z65" s="311"/>
      <c r="AA65" s="311"/>
      <c r="AB65" s="311"/>
      <c r="AC65" s="311"/>
      <c r="AD65" s="311"/>
      <c r="AE65" s="311"/>
      <c r="AF65" s="311"/>
      <c r="AG65" s="311"/>
      <c r="AH65" s="311"/>
      <c r="AI65" s="311"/>
      <c r="AJ65" s="311"/>
      <c r="AK65" s="311"/>
      <c r="AL65" s="311"/>
      <c r="AM65" s="311"/>
      <c r="AN65" s="311"/>
      <c r="AO65" s="311"/>
      <c r="AP65" s="311"/>
      <c r="AQ65" s="311"/>
      <c r="AS65" s="69"/>
      <c r="AT65" s="69" t="str">
        <f t="shared" si="2"/>
        <v>Добавить наименование тарифа</v>
      </c>
      <c r="AU65" s="69"/>
      <c r="AV65" s="69"/>
    </row>
    <row r="66" spans="1:48" ht="11.25" customHeight="1">
      <c r="N66" s="12"/>
      <c r="O66" s="12"/>
      <c r="P66" s="12"/>
      <c r="Q66" s="12"/>
      <c r="R66" s="12"/>
      <c r="S66" s="12"/>
      <c r="T66" s="12"/>
      <c r="U66" s="12"/>
      <c r="AR66" s="12"/>
      <c r="AS66" s="12"/>
      <c r="AT66" s="12"/>
      <c r="AU66" s="12"/>
      <c r="AV66" s="12"/>
    </row>
    <row r="67" spans="1:48" ht="33.75" customHeight="1">
      <c r="P67" s="12"/>
      <c r="U67" s="196"/>
      <c r="V67" s="1285"/>
      <c r="W67" s="1285"/>
      <c r="X67" s="1285"/>
      <c r="Y67" s="1285"/>
      <c r="Z67" s="1285"/>
      <c r="AA67" s="1285"/>
      <c r="AB67" s="1285"/>
      <c r="AC67" s="1285"/>
      <c r="AD67" s="1285"/>
      <c r="AE67" s="1285"/>
      <c r="AF67" s="1285"/>
      <c r="AG67" s="1285"/>
      <c r="AH67" s="1285"/>
      <c r="AI67" s="1285"/>
      <c r="AJ67" s="1285"/>
      <c r="AK67" s="1285"/>
      <c r="AL67" s="1285"/>
      <c r="AM67" s="1285"/>
      <c r="AN67" s="1285"/>
      <c r="AO67" s="1285"/>
      <c r="AP67" s="1285"/>
      <c r="AQ67" s="1285"/>
    </row>
    <row r="68" spans="1:48" ht="19.5" customHeight="1">
      <c r="P68" s="12"/>
      <c r="V68" s="1285"/>
      <c r="W68" s="1285"/>
      <c r="X68" s="1285"/>
      <c r="Y68" s="1285"/>
      <c r="Z68" s="1285"/>
      <c r="AA68" s="1285"/>
      <c r="AB68" s="1285"/>
      <c r="AC68" s="1285"/>
      <c r="AD68" s="1285"/>
      <c r="AE68" s="1285"/>
      <c r="AF68" s="1285"/>
      <c r="AG68" s="1285"/>
      <c r="AH68" s="1285"/>
      <c r="AI68" s="1285"/>
      <c r="AJ68" s="1285"/>
      <c r="AK68" s="1285"/>
      <c r="AL68" s="1285"/>
      <c r="AM68" s="1285"/>
      <c r="AN68" s="1285"/>
      <c r="AO68" s="1285"/>
      <c r="AP68" s="1285"/>
      <c r="AQ68" s="1285"/>
    </row>
    <row r="69" spans="1:48" ht="14.25" customHeight="1">
      <c r="P69" s="12"/>
    </row>
    <row r="70" spans="1:48" ht="27" customHeight="1">
      <c r="P70" s="12"/>
      <c r="V70" s="1285"/>
      <c r="W70" s="1285"/>
      <c r="X70" s="1285"/>
      <c r="Y70" s="1285"/>
      <c r="Z70" s="1285"/>
      <c r="AA70" s="1285"/>
      <c r="AB70" s="1285"/>
      <c r="AC70" s="1285"/>
      <c r="AD70" s="1285"/>
      <c r="AE70" s="1285"/>
      <c r="AF70" s="1285"/>
      <c r="AG70" s="1285"/>
      <c r="AH70" s="1285"/>
      <c r="AI70" s="1285"/>
      <c r="AJ70" s="1285"/>
      <c r="AK70" s="1285"/>
      <c r="AL70" s="1285"/>
      <c r="AM70" s="1285"/>
      <c r="AN70" s="1285"/>
      <c r="AO70" s="1285"/>
      <c r="AP70" s="1285"/>
      <c r="AQ70" s="1285"/>
    </row>
    <row r="71" spans="1:48" ht="18" customHeight="1">
      <c r="P71" s="12"/>
      <c r="V71" s="1285"/>
      <c r="W71" s="1285"/>
      <c r="X71" s="1285"/>
      <c r="Y71" s="1285"/>
      <c r="Z71" s="1285"/>
      <c r="AA71" s="1285"/>
      <c r="AB71" s="1285"/>
      <c r="AC71" s="1285"/>
      <c r="AD71" s="1285"/>
      <c r="AE71" s="1285"/>
      <c r="AF71" s="1285"/>
      <c r="AG71" s="1285"/>
      <c r="AH71" s="1285"/>
      <c r="AI71" s="1285"/>
      <c r="AJ71" s="1285"/>
      <c r="AK71" s="1285"/>
      <c r="AL71" s="1285"/>
      <c r="AM71" s="1285"/>
      <c r="AN71" s="1285"/>
      <c r="AO71" s="1285"/>
      <c r="AP71" s="1285"/>
      <c r="AQ71" s="1285"/>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5D44D-1A5B-C25B-1F3A-E9E0EB70F891}">
  <sheetPr>
    <tabColor theme="6" tint="0.39997558519241921"/>
  </sheetPr>
  <dimension ref="A1:AZ69"/>
  <sheetViews>
    <sheetView showGridLines="0" topLeftCell="P26"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299" hidden="1" customWidth="1"/>
    <col min="13" max="14" width="12.28515625" style="497" hidden="1" customWidth="1"/>
    <col min="15" max="15" width="23.42578125" style="497" hidden="1" customWidth="1"/>
    <col min="16" max="16" width="3.7109375" style="497" customWidth="1"/>
    <col min="17" max="17" width="3.7109375" style="762" customWidth="1"/>
    <col min="18" max="18" width="3.7109375" style="30" customWidth="1"/>
    <col min="19" max="19" width="12.7109375" style="334" customWidth="1"/>
    <col min="20" max="20" width="32" style="12" customWidth="1"/>
    <col min="21" max="21" width="0.140625" style="12" customWidth="1"/>
    <col min="22" max="23" width="21.7109375" style="12" hidden="1" customWidth="1"/>
    <col min="24" max="24" width="11.7109375" style="12" hidden="1" customWidth="1"/>
    <col min="25" max="25" width="3.7109375" style="12" hidden="1" customWidth="1"/>
    <col min="26" max="26" width="11.7109375" style="12" hidden="1" customWidth="1"/>
    <col min="27" max="27" width="8.5703125" style="12" hidden="1" customWidth="1"/>
    <col min="28" max="28" width="5.42578125" style="12" customWidth="1"/>
    <col min="29" max="30" width="3.7109375" style="12" customWidth="1"/>
    <col min="31" max="31" width="24.7109375" style="12" customWidth="1"/>
    <col min="32" max="34" width="3.7109375" style="12" customWidth="1"/>
    <col min="35" max="35" width="24.7109375" style="12" customWidth="1"/>
    <col min="36" max="38" width="3.7109375" style="12" customWidth="1"/>
    <col min="39" max="39" width="18.85546875" style="12" customWidth="1"/>
    <col min="40" max="41" width="21.7109375" style="12" customWidth="1"/>
    <col min="42" max="42" width="11.7109375" style="12" customWidth="1"/>
    <col min="43" max="43" width="3.7109375" style="12" customWidth="1"/>
    <col min="44" max="44" width="11.7109375" style="12" customWidth="1"/>
    <col min="45" max="45" width="8.5703125" style="12" customWidth="1"/>
    <col min="46" max="46" width="4.7109375" style="12" customWidth="1"/>
    <col min="47" max="47" width="115.7109375" style="12" customWidth="1"/>
    <col min="48" max="49" width="10.5703125" style="68"/>
    <col min="50" max="50" width="11.140625" style="68" customWidth="1"/>
    <col min="51" max="52" width="10.5703125" style="68"/>
  </cols>
  <sheetData>
    <row r="1" spans="1:52" ht="14.25" hidden="1" customHeight="1"/>
    <row r="2" spans="1:52" ht="21" hidden="1" customHeight="1">
      <c r="A2" s="759"/>
      <c r="B2" s="759"/>
      <c r="C2" s="759"/>
      <c r="D2" s="759"/>
      <c r="E2" s="1265">
        <v>1</v>
      </c>
      <c r="F2" s="759"/>
      <c r="G2" s="759"/>
      <c r="H2" s="759"/>
      <c r="I2" s="759"/>
      <c r="J2" s="759"/>
      <c r="K2" s="759"/>
      <c r="L2" s="760"/>
      <c r="M2" s="417"/>
      <c r="N2" s="417"/>
      <c r="O2" s="417"/>
      <c r="Q2" s="62"/>
      <c r="R2" s="205"/>
      <c r="S2" s="698" t="e">
        <f>INDEX(PT_DIFFERENTIATION_NUM_NTAR,MATCH(A2,PT_DIFFERENTIATION_NTAR_ID,0))</f>
        <v>#N/A</v>
      </c>
      <c r="T2" s="67" t="s">
        <v>124</v>
      </c>
      <c r="U2" s="169"/>
      <c r="V2" s="1252"/>
      <c r="W2" s="1252"/>
      <c r="X2" s="1252"/>
      <c r="Y2" s="1252"/>
      <c r="Z2" s="1252"/>
      <c r="AA2" s="1253"/>
      <c r="AB2" s="1251" t="e">
        <f>INDEX(PT_DIFFERENTIATION_NTAR,MATCH(A2,PT_DIFFERENTIATION_NTAR_ID,0))</f>
        <v>#N/A</v>
      </c>
      <c r="AC2" s="1252"/>
      <c r="AD2" s="1252"/>
      <c r="AE2" s="1252"/>
      <c r="AF2" s="1252"/>
      <c r="AG2" s="1252"/>
      <c r="AH2" s="1252"/>
      <c r="AI2" s="1252"/>
      <c r="AJ2" s="1252"/>
      <c r="AK2" s="1252"/>
      <c r="AL2" s="1252"/>
      <c r="AM2" s="1252"/>
      <c r="AN2" s="1252"/>
      <c r="AO2" s="1252"/>
      <c r="AP2" s="1252"/>
      <c r="AQ2" s="1252"/>
      <c r="AR2" s="1252"/>
      <c r="AS2" s="1252"/>
      <c r="AT2" s="1253"/>
      <c r="AU2" s="718" t="s">
        <v>395</v>
      </c>
      <c r="AW2" s="69"/>
      <c r="AX2" s="69" t="str">
        <f t="shared" ref="AX2:AX8" si="0">IF(T2="","",T2)</f>
        <v>Наименование тарифа</v>
      </c>
      <c r="AY2" s="69"/>
      <c r="AZ2" s="69"/>
    </row>
    <row r="3" spans="1:52" ht="21" hidden="1" customHeight="1">
      <c r="A3" s="759"/>
      <c r="B3" s="759"/>
      <c r="C3" s="759"/>
      <c r="D3" s="759"/>
      <c r="E3" s="1266"/>
      <c r="F3" s="1265">
        <v>1</v>
      </c>
      <c r="G3" s="759"/>
      <c r="H3" s="759"/>
      <c r="I3" s="759"/>
      <c r="J3" s="759"/>
      <c r="K3" s="759"/>
      <c r="L3" s="760"/>
      <c r="M3" s="417"/>
      <c r="N3" s="417"/>
      <c r="O3" s="417"/>
      <c r="P3" s="299"/>
      <c r="Q3" s="792"/>
      <c r="R3" s="203"/>
      <c r="S3" s="698" t="e">
        <f>INDEX(PT_DIFFERENTIATION_NUM_TER,MATCH(B3,PT_DIFFERENTIATION_TER_ID,0))</f>
        <v>#N/A</v>
      </c>
      <c r="T3" s="175" t="s">
        <v>396</v>
      </c>
      <c r="U3" s="169"/>
      <c r="V3" s="1252"/>
      <c r="W3" s="1252"/>
      <c r="X3" s="1252"/>
      <c r="Y3" s="1252"/>
      <c r="Z3" s="1252"/>
      <c r="AA3" s="1253"/>
      <c r="AB3" s="1251" t="e">
        <f>INDEX(PT_DIFFERENTIATION_TER,MATCH(B3,PT_DIFFERENTIATION_TER_ID,0))</f>
        <v>#N/A</v>
      </c>
      <c r="AC3" s="1252"/>
      <c r="AD3" s="1252"/>
      <c r="AE3" s="1252"/>
      <c r="AF3" s="1252"/>
      <c r="AG3" s="1252"/>
      <c r="AH3" s="1252"/>
      <c r="AI3" s="1252"/>
      <c r="AJ3" s="1252"/>
      <c r="AK3" s="1252"/>
      <c r="AL3" s="1252"/>
      <c r="AM3" s="1252"/>
      <c r="AN3" s="1252"/>
      <c r="AO3" s="1252"/>
      <c r="AP3" s="1252"/>
      <c r="AQ3" s="1252"/>
      <c r="AR3" s="1252"/>
      <c r="AS3" s="1252"/>
      <c r="AT3" s="1253"/>
      <c r="AU3" s="718" t="s">
        <v>397</v>
      </c>
      <c r="AW3" s="69"/>
      <c r="AX3" s="69" t="str">
        <f t="shared" si="0"/>
        <v>Территория действия тарифа</v>
      </c>
      <c r="AY3" s="69"/>
      <c r="AZ3" s="69"/>
    </row>
    <row r="4" spans="1:52" ht="22.5" hidden="1" customHeight="1">
      <c r="A4" s="759"/>
      <c r="B4" s="759"/>
      <c r="C4" s="759"/>
      <c r="D4" s="759"/>
      <c r="E4" s="1266"/>
      <c r="F4" s="1266"/>
      <c r="G4" s="1265">
        <v>1</v>
      </c>
      <c r="H4" s="759"/>
      <c r="I4" s="759"/>
      <c r="J4" s="759"/>
      <c r="K4" s="759"/>
      <c r="L4" s="760"/>
      <c r="M4" s="417"/>
      <c r="N4" s="417"/>
      <c r="O4" s="417"/>
      <c r="P4" s="129"/>
      <c r="Q4" s="792"/>
      <c r="R4" s="203"/>
      <c r="S4" s="698" t="e">
        <f>INDEX(PT_DIFFERENTIATION_NUM_CS,MATCH(C4,PT_DIFFERENTIATION_CS_ID,0))</f>
        <v>#N/A</v>
      </c>
      <c r="T4" s="176" t="s">
        <v>398</v>
      </c>
      <c r="U4" s="169"/>
      <c r="V4" s="1252"/>
      <c r="W4" s="1252"/>
      <c r="X4" s="1252"/>
      <c r="Y4" s="1252"/>
      <c r="Z4" s="1252"/>
      <c r="AA4" s="1253"/>
      <c r="AB4" s="1251" t="e">
        <f>INDEX(PT_DIFFERENTIATION_CS,MATCH(C4,PT_DIFFERENTIATION_CS_ID,0))</f>
        <v>#N/A</v>
      </c>
      <c r="AC4" s="1252"/>
      <c r="AD4" s="1252"/>
      <c r="AE4" s="1252"/>
      <c r="AF4" s="1252"/>
      <c r="AG4" s="1252"/>
      <c r="AH4" s="1252"/>
      <c r="AI4" s="1252"/>
      <c r="AJ4" s="1252"/>
      <c r="AK4" s="1252"/>
      <c r="AL4" s="1252"/>
      <c r="AM4" s="1252"/>
      <c r="AN4" s="1252"/>
      <c r="AO4" s="1252"/>
      <c r="AP4" s="1252"/>
      <c r="AQ4" s="1252"/>
      <c r="AR4" s="1252"/>
      <c r="AS4" s="1252"/>
      <c r="AT4" s="1253"/>
      <c r="AU4" s="718" t="s">
        <v>399</v>
      </c>
      <c r="AW4" s="69"/>
      <c r="AX4" s="69" t="str">
        <f t="shared" si="0"/>
        <v xml:space="preserve">Наименование системы теплоснабжения </v>
      </c>
      <c r="AY4" s="69"/>
      <c r="AZ4" s="69"/>
    </row>
    <row r="5" spans="1:52" ht="21" hidden="1" customHeight="1">
      <c r="A5" s="759"/>
      <c r="B5" s="759"/>
      <c r="C5" s="759"/>
      <c r="D5" s="759"/>
      <c r="E5" s="1266"/>
      <c r="F5" s="1266"/>
      <c r="G5" s="1266"/>
      <c r="H5" s="1265">
        <v>1</v>
      </c>
      <c r="I5" s="759"/>
      <c r="J5" s="759"/>
      <c r="K5" s="759"/>
      <c r="L5" s="760"/>
      <c r="M5" s="417"/>
      <c r="N5" s="417"/>
      <c r="O5" s="417"/>
      <c r="P5" s="129"/>
      <c r="Q5" s="792"/>
      <c r="R5" s="203"/>
      <c r="S5" s="698" t="e">
        <f>INDEX(PT_DIFFERENTIATION_NUM_IST_TE,MATCH(D5,PT_DIFFERENTIATION_IST_TE_ID,0))</f>
        <v>#N/A</v>
      </c>
      <c r="T5" s="177" t="s">
        <v>400</v>
      </c>
      <c r="U5" s="169"/>
      <c r="V5" s="1252"/>
      <c r="W5" s="1252"/>
      <c r="X5" s="1252"/>
      <c r="Y5" s="1252"/>
      <c r="Z5" s="1252"/>
      <c r="AA5" s="1253"/>
      <c r="AB5" s="1251" t="e">
        <f>INDEX(PT_DIFFERENTIATION_IST_TE,MATCH(D5,PT_DIFFERENTIATION_IST_TE_ID,0))</f>
        <v>#N/A</v>
      </c>
      <c r="AC5" s="1252"/>
      <c r="AD5" s="1252"/>
      <c r="AE5" s="1252"/>
      <c r="AF5" s="1252"/>
      <c r="AG5" s="1252"/>
      <c r="AH5" s="1252"/>
      <c r="AI5" s="1252"/>
      <c r="AJ5" s="1252"/>
      <c r="AK5" s="1252"/>
      <c r="AL5" s="1252"/>
      <c r="AM5" s="1252"/>
      <c r="AN5" s="1252"/>
      <c r="AO5" s="1252"/>
      <c r="AP5" s="1252"/>
      <c r="AQ5" s="1252"/>
      <c r="AR5" s="1252"/>
      <c r="AS5" s="1252"/>
      <c r="AT5" s="1253"/>
      <c r="AU5" s="718" t="s">
        <v>401</v>
      </c>
      <c r="AW5" s="69"/>
      <c r="AX5" s="69" t="str">
        <f t="shared" si="0"/>
        <v xml:space="preserve">Источник тепловой энергии  </v>
      </c>
      <c r="AY5" s="69"/>
      <c r="AZ5" s="69"/>
    </row>
    <row r="6" spans="1:52" s="68" customFormat="1" ht="0.75" hidden="1" customHeight="1">
      <c r="A6" s="143"/>
      <c r="B6" s="143"/>
      <c r="C6" s="143"/>
      <c r="D6" s="143"/>
      <c r="E6" s="1266"/>
      <c r="F6" s="1266"/>
      <c r="G6" s="1266"/>
      <c r="H6" s="1266"/>
      <c r="I6" s="1263" t="e">
        <f>S5&amp;".1"</f>
        <v>#N/A</v>
      </c>
      <c r="J6" s="143"/>
      <c r="K6" s="143"/>
      <c r="L6" s="338" t="s">
        <v>402</v>
      </c>
      <c r="M6" s="288"/>
      <c r="N6" s="288"/>
      <c r="O6" s="288"/>
      <c r="P6" s="1264">
        <v>1</v>
      </c>
      <c r="Q6" s="120"/>
      <c r="R6" s="206"/>
      <c r="S6" s="353"/>
      <c r="T6" s="769"/>
      <c r="U6" s="770"/>
      <c r="V6" s="1295"/>
      <c r="W6" s="1295"/>
      <c r="X6" s="1295"/>
      <c r="Y6" s="1295"/>
      <c r="Z6" s="1295"/>
      <c r="AA6" s="1296"/>
      <c r="AB6" s="1294"/>
      <c r="AC6" s="1295"/>
      <c r="AD6" s="1295"/>
      <c r="AE6" s="1295"/>
      <c r="AF6" s="1295"/>
      <c r="AG6" s="1295"/>
      <c r="AH6" s="1295"/>
      <c r="AI6" s="1295"/>
      <c r="AJ6" s="1295"/>
      <c r="AK6" s="1295"/>
      <c r="AL6" s="1295"/>
      <c r="AM6" s="1295"/>
      <c r="AN6" s="1295"/>
      <c r="AO6" s="1295"/>
      <c r="AP6" s="1295"/>
      <c r="AQ6" s="1295"/>
      <c r="AR6" s="1295"/>
      <c r="AS6" s="1295"/>
      <c r="AT6" s="1296"/>
      <c r="AU6" s="771"/>
      <c r="AW6" s="69"/>
      <c r="AX6" s="69" t="str">
        <f t="shared" si="0"/>
        <v/>
      </c>
      <c r="AY6" s="69"/>
      <c r="AZ6" s="69"/>
    </row>
    <row r="7" spans="1:52" s="68" customFormat="1" ht="0.75" hidden="1" customHeight="1">
      <c r="A7" s="143"/>
      <c r="B7" s="143"/>
      <c r="C7" s="143"/>
      <c r="D7" s="143"/>
      <c r="E7" s="1266"/>
      <c r="F7" s="1266"/>
      <c r="G7" s="1266"/>
      <c r="H7" s="1266"/>
      <c r="I7" s="1286"/>
      <c r="J7" s="1263" t="e">
        <f>S5&amp;".1"</f>
        <v>#N/A</v>
      </c>
      <c r="K7" s="143"/>
      <c r="L7" s="338"/>
      <c r="M7" s="288"/>
      <c r="N7" s="288"/>
      <c r="O7" s="288"/>
      <c r="P7" s="1264"/>
      <c r="Q7" s="1264">
        <v>1</v>
      </c>
      <c r="R7" s="207"/>
      <c r="S7" s="353"/>
      <c r="T7" s="784"/>
      <c r="U7" s="770"/>
      <c r="V7" s="1295"/>
      <c r="W7" s="1295"/>
      <c r="X7" s="1295"/>
      <c r="Y7" s="1295"/>
      <c r="Z7" s="1295"/>
      <c r="AA7" s="1296"/>
      <c r="AB7" s="1294"/>
      <c r="AC7" s="1295"/>
      <c r="AD7" s="1295"/>
      <c r="AE7" s="1295"/>
      <c r="AF7" s="1295"/>
      <c r="AG7" s="1295"/>
      <c r="AH7" s="1295"/>
      <c r="AI7" s="1295"/>
      <c r="AJ7" s="1295"/>
      <c r="AK7" s="1295"/>
      <c r="AL7" s="1295"/>
      <c r="AM7" s="1295"/>
      <c r="AN7" s="1295"/>
      <c r="AO7" s="1295"/>
      <c r="AP7" s="1295"/>
      <c r="AQ7" s="1295"/>
      <c r="AR7" s="1295"/>
      <c r="AS7" s="1295"/>
      <c r="AT7" s="1296"/>
      <c r="AU7" s="771"/>
      <c r="AW7" s="69"/>
      <c r="AX7" s="69" t="str">
        <f t="shared" si="0"/>
        <v/>
      </c>
      <c r="AY7" s="69"/>
      <c r="AZ7" s="69"/>
    </row>
    <row r="8" spans="1:52" ht="21" hidden="1" customHeight="1">
      <c r="A8" s="759"/>
      <c r="B8" s="759"/>
      <c r="C8" s="759"/>
      <c r="D8" s="759"/>
      <c r="E8" s="1266"/>
      <c r="F8" s="1266"/>
      <c r="G8" s="1266"/>
      <c r="H8" s="1266"/>
      <c r="I8" s="1286"/>
      <c r="J8" s="1286"/>
      <c r="K8" s="1263" t="e">
        <f>S5&amp;".1"</f>
        <v>#N/A</v>
      </c>
      <c r="L8" s="760"/>
      <c r="P8" s="1264"/>
      <c r="Q8" s="1264"/>
      <c r="R8" s="1328">
        <v>1</v>
      </c>
      <c r="S8" s="1322" t="e">
        <f>$K8</f>
        <v>#N/A</v>
      </c>
      <c r="T8" s="1325"/>
      <c r="U8" s="169"/>
      <c r="V8" s="304"/>
      <c r="W8" s="717"/>
      <c r="X8" s="1268"/>
      <c r="Y8" s="1127" t="s">
        <v>62</v>
      </c>
      <c r="Z8" s="1268"/>
      <c r="AA8" s="1127" t="s">
        <v>62</v>
      </c>
      <c r="AB8" s="1127" t="s">
        <v>52</v>
      </c>
      <c r="AC8" s="1308"/>
      <c r="AD8" s="1220">
        <v>1</v>
      </c>
      <c r="AE8" s="1309"/>
      <c r="AF8" s="1127" t="s">
        <v>52</v>
      </c>
      <c r="AG8" s="1308"/>
      <c r="AH8" s="1220">
        <v>1</v>
      </c>
      <c r="AI8" s="1309"/>
      <c r="AJ8" s="1127" t="s">
        <v>52</v>
      </c>
      <c r="AK8" s="178"/>
      <c r="AL8" s="266">
        <v>1</v>
      </c>
      <c r="AM8" s="607"/>
      <c r="AN8" s="304"/>
      <c r="AO8" s="717"/>
      <c r="AP8" s="933"/>
      <c r="AQ8" s="295" t="s">
        <v>62</v>
      </c>
      <c r="AR8" s="933"/>
      <c r="AS8" s="295" t="s">
        <v>62</v>
      </c>
      <c r="AT8" s="756"/>
      <c r="AU8" s="1260" t="s">
        <v>463</v>
      </c>
      <c r="AV8" s="68" t="e">
        <f ca="1">STRCHECKDATE(V11:AT11)</f>
        <v>#NAME?</v>
      </c>
      <c r="AW8" s="69"/>
      <c r="AX8" s="69" t="str">
        <f t="shared" si="0"/>
        <v/>
      </c>
      <c r="AY8" s="69"/>
      <c r="AZ8" s="69"/>
    </row>
    <row r="9" spans="1:52" ht="11.25" hidden="1" customHeight="1">
      <c r="A9" s="759"/>
      <c r="B9" s="759"/>
      <c r="C9" s="759"/>
      <c r="D9" s="759"/>
      <c r="E9" s="1266"/>
      <c r="F9" s="1266"/>
      <c r="G9" s="1266"/>
      <c r="H9" s="1266"/>
      <c r="I9" s="1286"/>
      <c r="J9" s="1286"/>
      <c r="K9" s="1263"/>
      <c r="L9" s="760"/>
      <c r="P9" s="1264"/>
      <c r="Q9" s="1264"/>
      <c r="R9" s="1328"/>
      <c r="S9" s="1323"/>
      <c r="T9" s="1326"/>
      <c r="U9" s="169"/>
      <c r="V9" s="779"/>
      <c r="W9" s="783"/>
      <c r="X9" s="1268"/>
      <c r="Y9" s="1127"/>
      <c r="Z9" s="1268"/>
      <c r="AA9" s="1127"/>
      <c r="AB9" s="1127"/>
      <c r="AC9" s="1308"/>
      <c r="AD9" s="1220"/>
      <c r="AE9" s="1309"/>
      <c r="AF9" s="1127"/>
      <c r="AG9" s="1308"/>
      <c r="AH9" s="1220"/>
      <c r="AI9" s="1309"/>
      <c r="AJ9" s="1127"/>
      <c r="AK9" s="182"/>
      <c r="AL9" s="53"/>
      <c r="AM9" s="108" t="s">
        <v>464</v>
      </c>
      <c r="AN9" s="779"/>
      <c r="AO9" s="809"/>
      <c r="AP9" s="779"/>
      <c r="AQ9" s="779"/>
      <c r="AR9" s="779"/>
      <c r="AS9" s="779"/>
      <c r="AT9" s="776"/>
      <c r="AU9" s="1261"/>
      <c r="AW9" s="69"/>
      <c r="AX9" s="69"/>
      <c r="AY9" s="69"/>
      <c r="AZ9" s="69"/>
    </row>
    <row r="10" spans="1:52" ht="11.25" hidden="1" customHeight="1">
      <c r="A10" s="759"/>
      <c r="B10" s="759"/>
      <c r="C10" s="759"/>
      <c r="D10" s="759"/>
      <c r="E10" s="1266"/>
      <c r="F10" s="1266"/>
      <c r="G10" s="1266"/>
      <c r="H10" s="1266"/>
      <c r="I10" s="1286"/>
      <c r="J10" s="1286"/>
      <c r="K10" s="1263"/>
      <c r="L10" s="760"/>
      <c r="P10" s="1264"/>
      <c r="Q10" s="1264"/>
      <c r="R10" s="1328"/>
      <c r="S10" s="1323"/>
      <c r="T10" s="1326"/>
      <c r="U10" s="169"/>
      <c r="V10" s="779"/>
      <c r="W10" s="783"/>
      <c r="X10" s="1268"/>
      <c r="Y10" s="1127"/>
      <c r="Z10" s="1268"/>
      <c r="AA10" s="1127"/>
      <c r="AB10" s="1127"/>
      <c r="AC10" s="1308"/>
      <c r="AD10" s="1220"/>
      <c r="AE10" s="1309"/>
      <c r="AF10" s="1127"/>
      <c r="AG10" s="167"/>
      <c r="AH10" s="108"/>
      <c r="AI10" s="108" t="s">
        <v>465</v>
      </c>
      <c r="AJ10" s="779"/>
      <c r="AK10" s="779"/>
      <c r="AL10" s="779"/>
      <c r="AM10" s="779"/>
      <c r="AN10" s="779"/>
      <c r="AO10" s="809"/>
      <c r="AP10" s="779"/>
      <c r="AQ10" s="779"/>
      <c r="AR10" s="779"/>
      <c r="AS10" s="779"/>
      <c r="AT10" s="776"/>
      <c r="AU10" s="1261"/>
      <c r="AW10" s="69"/>
      <c r="AX10" s="69"/>
      <c r="AY10" s="69"/>
      <c r="AZ10" s="69"/>
    </row>
    <row r="11" spans="1:52" ht="11.25" hidden="1" customHeight="1">
      <c r="A11" s="759"/>
      <c r="B11" s="759"/>
      <c r="C11" s="759"/>
      <c r="D11" s="759"/>
      <c r="E11" s="1266"/>
      <c r="F11" s="1266"/>
      <c r="G11" s="1266"/>
      <c r="H11" s="1266"/>
      <c r="I11" s="1286"/>
      <c r="J11" s="1286"/>
      <c r="K11" s="1263"/>
      <c r="L11" s="760"/>
      <c r="P11" s="1264"/>
      <c r="Q11" s="1264"/>
      <c r="R11" s="1328"/>
      <c r="S11" s="1324"/>
      <c r="T11" s="1327"/>
      <c r="U11" s="169"/>
      <c r="V11" s="779"/>
      <c r="W11" s="782" t="str">
        <f>X8&amp;"-"&amp;Z8</f>
        <v>-</v>
      </c>
      <c r="X11" s="1269"/>
      <c r="Y11" s="1127"/>
      <c r="Z11" s="1269"/>
      <c r="AA11" s="1127"/>
      <c r="AB11" s="1127"/>
      <c r="AC11" s="179"/>
      <c r="AD11" s="181"/>
      <c r="AE11" s="108" t="s">
        <v>466</v>
      </c>
      <c r="AF11" s="779"/>
      <c r="AG11" s="779"/>
      <c r="AH11" s="779"/>
      <c r="AI11" s="779"/>
      <c r="AJ11" s="779"/>
      <c r="AK11" s="779"/>
      <c r="AL11" s="779"/>
      <c r="AM11" s="779"/>
      <c r="AN11" s="779"/>
      <c r="AO11" s="780" t="str">
        <f>AP8&amp;"-"&amp;AR8</f>
        <v>-</v>
      </c>
      <c r="AP11" s="779"/>
      <c r="AQ11" s="779"/>
      <c r="AR11" s="779"/>
      <c r="AS11" s="779"/>
      <c r="AT11" s="757"/>
      <c r="AU11" s="1261"/>
      <c r="AW11" s="69"/>
      <c r="AX11" s="69" t="str">
        <f t="shared" ref="AX11:AX17" si="1">IF(T11="","",T11)</f>
        <v/>
      </c>
      <c r="AY11" s="69"/>
      <c r="AZ11" s="69"/>
    </row>
    <row r="12" spans="1:52" ht="11.25" hidden="1" customHeight="1">
      <c r="A12" s="759"/>
      <c r="B12" s="759"/>
      <c r="C12" s="759"/>
      <c r="D12" s="759"/>
      <c r="E12" s="1266"/>
      <c r="F12" s="1266"/>
      <c r="G12" s="1266"/>
      <c r="H12" s="1266"/>
      <c r="I12" s="1286"/>
      <c r="J12" s="1263"/>
      <c r="K12" s="759"/>
      <c r="L12" s="760"/>
      <c r="P12" s="1264"/>
      <c r="Q12" s="1264"/>
      <c r="R12" s="206"/>
      <c r="S12" s="732"/>
      <c r="T12" s="164" t="s">
        <v>467</v>
      </c>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188"/>
      <c r="AU12" s="1262"/>
      <c r="AW12" s="69"/>
      <c r="AX12" s="69" t="str">
        <f t="shared" si="1"/>
        <v>Добавить строку</v>
      </c>
      <c r="AY12" s="69"/>
      <c r="AZ12" s="69"/>
    </row>
    <row r="13" spans="1:52" s="68" customFormat="1" ht="0.75" hidden="1" customHeight="1">
      <c r="A13" s="143"/>
      <c r="B13" s="143"/>
      <c r="C13" s="143"/>
      <c r="D13" s="143"/>
      <c r="E13" s="1266"/>
      <c r="F13" s="1266"/>
      <c r="G13" s="1266"/>
      <c r="H13" s="1266"/>
      <c r="I13" s="1263"/>
      <c r="J13" s="143"/>
      <c r="K13" s="143"/>
      <c r="L13" s="338"/>
      <c r="M13" s="288"/>
      <c r="N13" s="288"/>
      <c r="O13" s="288"/>
      <c r="P13" s="1264"/>
      <c r="Q13" s="120"/>
      <c r="R13" s="206"/>
      <c r="S13" s="772"/>
      <c r="T13" s="773"/>
      <c r="U13" s="774"/>
      <c r="V13" s="774"/>
      <c r="W13" s="774"/>
      <c r="X13" s="774"/>
      <c r="Y13" s="774"/>
      <c r="Z13" s="774"/>
      <c r="AA13" s="774"/>
      <c r="AB13" s="774"/>
      <c r="AC13" s="774"/>
      <c r="AD13" s="774"/>
      <c r="AE13" s="774"/>
      <c r="AF13" s="774"/>
      <c r="AG13" s="774"/>
      <c r="AH13" s="774"/>
      <c r="AI13" s="774"/>
      <c r="AJ13" s="774"/>
      <c r="AK13" s="774"/>
      <c r="AL13" s="774"/>
      <c r="AM13" s="774"/>
      <c r="AN13" s="774"/>
      <c r="AO13" s="774"/>
      <c r="AP13" s="774"/>
      <c r="AQ13" s="774"/>
      <c r="AR13" s="774"/>
      <c r="AS13" s="774"/>
      <c r="AT13" s="774"/>
      <c r="AU13" s="775"/>
      <c r="AW13" s="69"/>
      <c r="AX13" s="69" t="str">
        <f t="shared" si="1"/>
        <v/>
      </c>
      <c r="AY13" s="69"/>
      <c r="AZ13" s="69"/>
    </row>
    <row r="14" spans="1:52" s="68" customFormat="1" ht="0.75" hidden="1" customHeight="1">
      <c r="A14" s="143"/>
      <c r="B14" s="143"/>
      <c r="C14" s="143"/>
      <c r="D14" s="143"/>
      <c r="E14" s="1266"/>
      <c r="F14" s="1266"/>
      <c r="G14" s="1266"/>
      <c r="H14" s="1265"/>
      <c r="I14" s="143"/>
      <c r="J14" s="143"/>
      <c r="K14" s="143"/>
      <c r="L14" s="338"/>
      <c r="M14" s="291"/>
      <c r="N14" s="291"/>
      <c r="P14" s="102"/>
      <c r="Q14" s="745"/>
      <c r="R14" s="786"/>
      <c r="S14" s="772"/>
      <c r="T14" s="773"/>
      <c r="U14" s="774"/>
      <c r="V14" s="774"/>
      <c r="W14" s="774"/>
      <c r="X14" s="774"/>
      <c r="Y14" s="774"/>
      <c r="Z14" s="774"/>
      <c r="AA14" s="774"/>
      <c r="AB14" s="774"/>
      <c r="AC14" s="774"/>
      <c r="AD14" s="774"/>
      <c r="AE14" s="774"/>
      <c r="AF14" s="774"/>
      <c r="AG14" s="774"/>
      <c r="AH14" s="774"/>
      <c r="AI14" s="774"/>
      <c r="AJ14" s="774"/>
      <c r="AK14" s="774"/>
      <c r="AL14" s="774"/>
      <c r="AM14" s="774"/>
      <c r="AN14" s="774"/>
      <c r="AO14" s="774"/>
      <c r="AP14" s="774"/>
      <c r="AQ14" s="774"/>
      <c r="AR14" s="774"/>
      <c r="AS14" s="774"/>
      <c r="AT14" s="774"/>
      <c r="AU14" s="775"/>
      <c r="AW14" s="69"/>
      <c r="AX14" s="69" t="str">
        <f t="shared" si="1"/>
        <v/>
      </c>
      <c r="AY14" s="69"/>
      <c r="AZ14" s="69"/>
    </row>
    <row r="15" spans="1:52" s="68" customFormat="1" ht="0.75" hidden="1" customHeight="1">
      <c r="A15" s="143"/>
      <c r="B15" s="143"/>
      <c r="C15" s="143"/>
      <c r="D15" s="143"/>
      <c r="E15" s="1266"/>
      <c r="F15" s="1266"/>
      <c r="G15" s="1265"/>
      <c r="H15" s="143"/>
      <c r="I15" s="143"/>
      <c r="J15" s="143"/>
      <c r="K15" s="143"/>
      <c r="L15" s="338"/>
      <c r="M15" s="291"/>
      <c r="N15" s="291"/>
      <c r="P15" s="102"/>
      <c r="Q15" s="745"/>
      <c r="R15" s="102"/>
      <c r="S15" s="750"/>
      <c r="T15" s="752" t="s">
        <v>413</v>
      </c>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W15" s="69"/>
      <c r="AX15" s="69" t="str">
        <f t="shared" si="1"/>
        <v>Добавить источник для дифференциации</v>
      </c>
      <c r="AY15" s="69"/>
      <c r="AZ15" s="69"/>
    </row>
    <row r="16" spans="1:52" s="68" customFormat="1" ht="0.75" hidden="1" customHeight="1">
      <c r="A16" s="143"/>
      <c r="B16" s="143"/>
      <c r="C16" s="143"/>
      <c r="D16" s="143"/>
      <c r="E16" s="1266"/>
      <c r="F16" s="1265"/>
      <c r="G16" s="143"/>
      <c r="H16" s="143"/>
      <c r="I16" s="143"/>
      <c r="J16" s="143"/>
      <c r="K16" s="143"/>
      <c r="L16" s="338"/>
      <c r="M16" s="749"/>
      <c r="N16" s="749"/>
      <c r="P16" s="102"/>
      <c r="Q16" s="745"/>
      <c r="R16" s="102"/>
      <c r="S16" s="750"/>
      <c r="T16" s="752" t="s">
        <v>414</v>
      </c>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W16" s="69"/>
      <c r="AX16" s="69" t="str">
        <f t="shared" si="1"/>
        <v>Добавить централизованную систему для дифференциации</v>
      </c>
      <c r="AY16" s="69"/>
      <c r="AZ16" s="69"/>
    </row>
    <row r="17" spans="1:52" s="68" customFormat="1" ht="0.75" hidden="1" customHeight="1">
      <c r="A17" s="143"/>
      <c r="B17" s="143"/>
      <c r="C17" s="143"/>
      <c r="D17" s="143"/>
      <c r="E17" s="1265"/>
      <c r="F17" s="143"/>
      <c r="G17" s="143"/>
      <c r="H17" s="143"/>
      <c r="I17" s="143"/>
      <c r="J17" s="143"/>
      <c r="K17" s="143"/>
      <c r="L17" s="338"/>
      <c r="M17" s="749"/>
      <c r="N17" s="749"/>
      <c r="P17" s="102"/>
      <c r="Q17" s="745"/>
      <c r="R17" s="102"/>
      <c r="S17" s="750"/>
      <c r="T17" s="752" t="s">
        <v>415</v>
      </c>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W17" s="69"/>
      <c r="AX17" s="69" t="str">
        <f t="shared" si="1"/>
        <v>Добавить территорию для дифференциации</v>
      </c>
      <c r="AY17" s="69"/>
      <c r="AZ17" s="69"/>
    </row>
    <row r="18" spans="1:52" ht="14.25" hidden="1" customHeight="1"/>
    <row r="19" spans="1:52" ht="14.25" hidden="1" customHeight="1">
      <c r="AB19" s="311" t="s">
        <v>52</v>
      </c>
      <c r="AC19" s="814"/>
      <c r="AD19" s="311">
        <v>1</v>
      </c>
      <c r="AE19" s="815"/>
      <c r="AF19" s="311" t="s">
        <v>52</v>
      </c>
      <c r="AG19" s="814"/>
      <c r="AH19" s="311">
        <v>1</v>
      </c>
      <c r="AI19" s="815"/>
      <c r="AJ19" s="311" t="s">
        <v>52</v>
      </c>
      <c r="AK19" s="816"/>
      <c r="AL19" s="311">
        <v>1</v>
      </c>
      <c r="AM19" s="818"/>
      <c r="AN19" s="600"/>
      <c r="AO19" s="787"/>
      <c r="AP19" s="935"/>
      <c r="AQ19" s="806" t="s">
        <v>62</v>
      </c>
      <c r="AR19" s="935"/>
      <c r="AS19" s="806" t="s">
        <v>62</v>
      </c>
    </row>
    <row r="20" spans="1:52" ht="14.25" hidden="1" customHeight="1">
      <c r="AV20" s="201"/>
      <c r="AW20" s="201"/>
      <c r="AX20" s="201"/>
      <c r="AY20" s="201"/>
      <c r="AZ20" s="201"/>
    </row>
    <row r="21" spans="1:52" ht="14.25" hidden="1" customHeight="1">
      <c r="O21" s="761" t="s">
        <v>416</v>
      </c>
      <c r="X21" s="754"/>
      <c r="Z21" s="754"/>
      <c r="AP21" s="754"/>
      <c r="AR21" s="754"/>
      <c r="AV21" s="201"/>
      <c r="AW21" s="201"/>
      <c r="AX21" s="201"/>
      <c r="AY21" s="201"/>
      <c r="AZ21" s="201"/>
    </row>
    <row r="22" spans="1:52" ht="14.25" hidden="1" customHeight="1">
      <c r="AV22" s="201"/>
      <c r="AW22" s="201"/>
      <c r="AX22" s="201"/>
      <c r="AY22" s="201"/>
      <c r="AZ22" s="201"/>
    </row>
    <row r="23" spans="1:52" s="819" customFormat="1" ht="14.25" hidden="1" customHeight="1">
      <c r="M23" s="820"/>
      <c r="N23" s="820"/>
      <c r="O23" s="819" t="s">
        <v>417</v>
      </c>
      <c r="P23" s="820"/>
      <c r="Q23" s="821"/>
      <c r="R23" s="821"/>
      <c r="Y23" s="819" t="s">
        <v>419</v>
      </c>
      <c r="AA23" s="819" t="s">
        <v>420</v>
      </c>
      <c r="AB23" s="819" t="s">
        <v>468</v>
      </c>
      <c r="AE23" s="819" t="s">
        <v>469</v>
      </c>
      <c r="AF23" s="819" t="s">
        <v>468</v>
      </c>
      <c r="AI23" s="819" t="s">
        <v>470</v>
      </c>
      <c r="AJ23" s="819" t="s">
        <v>468</v>
      </c>
      <c r="AM23" s="819" t="s">
        <v>471</v>
      </c>
      <c r="AQ23" s="819" t="s">
        <v>419</v>
      </c>
      <c r="AS23" s="819" t="s">
        <v>420</v>
      </c>
      <c r="AV23" s="822"/>
      <c r="AW23" s="822"/>
      <c r="AX23" s="822"/>
      <c r="AY23" s="822"/>
      <c r="AZ23" s="822"/>
    </row>
    <row r="24" spans="1:52" ht="14.25" hidden="1" customHeight="1">
      <c r="O24" s="760"/>
      <c r="AV24" s="201"/>
      <c r="AW24" s="201"/>
      <c r="AX24" s="201"/>
      <c r="AY24" s="201"/>
      <c r="AZ24" s="201"/>
    </row>
    <row r="25" spans="1:52" ht="14.25" hidden="1" customHeight="1">
      <c r="O25" s="760"/>
      <c r="AV25" s="201"/>
      <c r="AW25" s="201"/>
      <c r="AX25" s="201"/>
      <c r="AY25" s="201"/>
      <c r="AZ25" s="201"/>
    </row>
    <row r="26" spans="1:52" ht="14.25" customHeight="1">
      <c r="Q26" s="166"/>
      <c r="R26" s="29"/>
      <c r="S26" s="729"/>
      <c r="T26" s="11"/>
      <c r="U26" s="11"/>
    </row>
    <row r="27" spans="1:52" ht="26.25" customHeight="1">
      <c r="Q27" s="166"/>
      <c r="R27" s="29"/>
      <c r="S27" s="1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49"/>
      <c r="U27" s="1249"/>
      <c r="V27" s="1249"/>
      <c r="W27" s="1249"/>
      <c r="X27" s="1249"/>
      <c r="Y27" s="1249"/>
      <c r="Z27" s="1249"/>
      <c r="AA27" s="1249"/>
      <c r="AB27" s="1249"/>
      <c r="AC27" s="1249"/>
      <c r="AD27" s="1249"/>
      <c r="AE27" s="1249"/>
      <c r="AF27" s="1249"/>
      <c r="AG27" s="1249"/>
      <c r="AH27" s="1249"/>
      <c r="AI27" s="1249"/>
      <c r="AJ27" s="1249"/>
      <c r="AK27" s="1249"/>
      <c r="AL27" s="1249"/>
      <c r="AM27" s="1249"/>
      <c r="AN27" s="1249"/>
      <c r="AO27" s="1249"/>
      <c r="AP27" s="1249"/>
      <c r="AQ27" s="1249"/>
      <c r="AR27" s="1249"/>
      <c r="AS27" s="60"/>
    </row>
    <row r="28" spans="1:52" ht="14.25" customHeight="1">
      <c r="Q28" s="166"/>
      <c r="R28" s="29"/>
      <c r="S28" s="1194" t="str">
        <f>IF(org=0,"Не определено",org)</f>
        <v>АО "ХТК"</v>
      </c>
      <c r="T28" s="1194"/>
      <c r="U28" s="1194"/>
      <c r="V28" s="1194"/>
      <c r="W28" s="1194"/>
      <c r="X28" s="1194"/>
      <c r="Y28" s="1194"/>
      <c r="Z28" s="1194"/>
      <c r="AA28" s="1194"/>
      <c r="AB28" s="1194"/>
      <c r="AC28" s="1194"/>
      <c r="AD28" s="1194"/>
      <c r="AE28" s="1194"/>
      <c r="AF28" s="1194"/>
      <c r="AG28" s="1194"/>
      <c r="AH28" s="1194"/>
      <c r="AI28" s="1194"/>
      <c r="AJ28" s="1194"/>
      <c r="AK28" s="1194"/>
      <c r="AL28" s="1194"/>
      <c r="AM28" s="1194"/>
      <c r="AN28" s="1194"/>
      <c r="AO28" s="1194"/>
      <c r="AP28" s="1194"/>
      <c r="AQ28" s="1194"/>
      <c r="AR28" s="1194"/>
      <c r="AS28" s="60"/>
    </row>
    <row r="29" spans="1:52" ht="14.25" hidden="1" customHeight="1">
      <c r="Q29" s="166"/>
      <c r="R29" s="29"/>
      <c r="S29" s="729"/>
      <c r="T29" s="11"/>
      <c r="U29" s="11"/>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row>
    <row r="30" spans="1:52" s="36" customFormat="1" ht="25.5" hidden="1" customHeight="1">
      <c r="A30" s="81"/>
      <c r="B30" s="81"/>
      <c r="C30" s="81"/>
      <c r="D30" s="81"/>
      <c r="E30" s="81"/>
      <c r="F30" s="81"/>
      <c r="G30" s="81"/>
      <c r="H30" s="81"/>
      <c r="I30" s="81"/>
      <c r="J30" s="81"/>
      <c r="K30" s="81"/>
      <c r="L30" s="760"/>
      <c r="M30" s="81"/>
      <c r="N30" s="81"/>
      <c r="O30" s="81"/>
      <c r="P30" s="81"/>
      <c r="Q30" s="81"/>
      <c r="S30" s="1257" t="s">
        <v>37</v>
      </c>
      <c r="T30" s="1257"/>
      <c r="U30" s="763"/>
      <c r="V30" s="1258" t="str">
        <f>IF(TITLE_NAME_OR_PR_CHANGE="",IF(TITLE_NAME_OR_PR="","",TITLE_NAME_OR_PR),TITLE_NAME_OR_PR_CHANGE)</f>
        <v/>
      </c>
      <c r="W30" s="1258"/>
      <c r="X30" s="1258"/>
      <c r="Y30" s="1258"/>
      <c r="Z30" s="1258"/>
      <c r="AA30" s="12"/>
      <c r="AB30" s="1258" t="str">
        <f>IF(TITLE_NAME_OR_PR_CHANGE="",IF(TITLE_NAME_OR_PR="","",TITLE_NAME_OR_PR),TITLE_NAME_OR_PR_CHANGE)</f>
        <v/>
      </c>
      <c r="AC30" s="1258"/>
      <c r="AD30" s="1258"/>
      <c r="AE30" s="1258"/>
      <c r="AF30" s="1258"/>
      <c r="AG30" s="1258"/>
      <c r="AH30" s="1258"/>
      <c r="AI30" s="1258"/>
      <c r="AJ30" s="1258"/>
      <c r="AK30" s="1258"/>
      <c r="AL30" s="1258"/>
      <c r="AM30" s="1258"/>
      <c r="AN30" s="1258"/>
      <c r="AO30" s="1258"/>
      <c r="AP30" s="1258"/>
      <c r="AQ30" s="1258"/>
      <c r="AR30" s="1258"/>
      <c r="AS30" s="12"/>
      <c r="AT30" s="12"/>
      <c r="AU30" s="161"/>
      <c r="AV30" s="69"/>
      <c r="AW30" s="69"/>
      <c r="AX30" s="69"/>
      <c r="AY30" s="69"/>
      <c r="AZ30" s="69"/>
    </row>
    <row r="31" spans="1:52" s="36" customFormat="1" ht="18.75" hidden="1" customHeight="1">
      <c r="A31" s="81"/>
      <c r="B31" s="81"/>
      <c r="C31" s="81"/>
      <c r="D31" s="81"/>
      <c r="E31" s="81"/>
      <c r="F31" s="81"/>
      <c r="G31" s="81"/>
      <c r="H31" s="81"/>
      <c r="I31" s="81"/>
      <c r="J31" s="81"/>
      <c r="K31" s="81"/>
      <c r="L31" s="760"/>
      <c r="M31" s="81"/>
      <c r="N31" s="81"/>
      <c r="O31" s="81"/>
      <c r="P31" s="81"/>
      <c r="Q31" s="81"/>
      <c r="S31" s="1257" t="s">
        <v>422</v>
      </c>
      <c r="T31" s="1257"/>
      <c r="U31" s="763"/>
      <c r="V31" s="1267" t="str">
        <f>IF(TITLE_DATE_PR_CHANGE="",IF(TITLE_DATE_PR="","",TITLE_DATE_PR),TITLE_DATE_PR_CHANGE)</f>
        <v/>
      </c>
      <c r="W31" s="1267"/>
      <c r="X31" s="1267"/>
      <c r="Y31" s="1267"/>
      <c r="Z31" s="1267"/>
      <c r="AA31" s="12"/>
      <c r="AB31" s="1267" t="str">
        <f>IF(TITLE_DATE_PR_CHANGE="",IF(TITLE_DATE_PR="","",TITLE_DATE_PR),TITLE_DATE_PR_CHANGE)</f>
        <v/>
      </c>
      <c r="AC31" s="1267"/>
      <c r="AD31" s="1267"/>
      <c r="AE31" s="1267"/>
      <c r="AF31" s="1267"/>
      <c r="AG31" s="1267"/>
      <c r="AH31" s="1267"/>
      <c r="AI31" s="1267"/>
      <c r="AJ31" s="1267"/>
      <c r="AK31" s="1267"/>
      <c r="AL31" s="1267"/>
      <c r="AM31" s="1267"/>
      <c r="AN31" s="1267"/>
      <c r="AO31" s="1267"/>
      <c r="AP31" s="1267"/>
      <c r="AQ31" s="1267"/>
      <c r="AR31" s="1267"/>
      <c r="AS31" s="12"/>
      <c r="AT31" s="12"/>
      <c r="AU31" s="161"/>
      <c r="AV31" s="69"/>
      <c r="AW31" s="69"/>
      <c r="AX31" s="69"/>
      <c r="AY31" s="69"/>
      <c r="AZ31" s="69"/>
    </row>
    <row r="32" spans="1:52" s="36" customFormat="1" ht="18.75" hidden="1" customHeight="1">
      <c r="A32" s="81"/>
      <c r="B32" s="81"/>
      <c r="C32" s="81"/>
      <c r="D32" s="81"/>
      <c r="E32" s="81"/>
      <c r="F32" s="81"/>
      <c r="G32" s="81"/>
      <c r="H32" s="81"/>
      <c r="I32" s="81"/>
      <c r="J32" s="81"/>
      <c r="K32" s="81"/>
      <c r="L32" s="760"/>
      <c r="M32" s="81"/>
      <c r="N32" s="81"/>
      <c r="O32" s="81"/>
      <c r="P32" s="81"/>
      <c r="Q32" s="81"/>
      <c r="S32" s="1257" t="s">
        <v>423</v>
      </c>
      <c r="T32" s="1257"/>
      <c r="U32" s="763"/>
      <c r="V32" s="1258" t="str">
        <f>IF(TITLE_NUMBER_PR_CHANGE="",IF(TITLE_NUMBER_PR="","",TITLE_NUMBER_PR),TITLE_NUMBER_PR_CHANGE)</f>
        <v/>
      </c>
      <c r="W32" s="1258"/>
      <c r="X32" s="1258"/>
      <c r="Y32" s="1258"/>
      <c r="Z32" s="1258"/>
      <c r="AA32" s="12"/>
      <c r="AB32" s="1258" t="str">
        <f>IF(TITLE_NUMBER_PR_CHANGE="",IF(TITLE_NUMBER_PR="","",TITLE_NUMBER_PR),TITLE_NUMBER_PR_CHANGE)</f>
        <v/>
      </c>
      <c r="AC32" s="1258"/>
      <c r="AD32" s="1258"/>
      <c r="AE32" s="1258"/>
      <c r="AF32" s="1258"/>
      <c r="AG32" s="1258"/>
      <c r="AH32" s="1258"/>
      <c r="AI32" s="1258"/>
      <c r="AJ32" s="1258"/>
      <c r="AK32" s="1258"/>
      <c r="AL32" s="1258"/>
      <c r="AM32" s="1258"/>
      <c r="AN32" s="1258"/>
      <c r="AO32" s="1258"/>
      <c r="AP32" s="1258"/>
      <c r="AQ32" s="1258"/>
      <c r="AR32" s="1258"/>
      <c r="AS32" s="12"/>
      <c r="AT32" s="12"/>
      <c r="AU32" s="161"/>
      <c r="AV32" s="69"/>
      <c r="AW32" s="69"/>
      <c r="AX32" s="69"/>
      <c r="AY32" s="69"/>
      <c r="AZ32" s="69"/>
    </row>
    <row r="33" spans="1:52" s="36" customFormat="1" ht="18.75" hidden="1" customHeight="1">
      <c r="A33" s="81"/>
      <c r="B33" s="81"/>
      <c r="C33" s="81"/>
      <c r="D33" s="81"/>
      <c r="E33" s="81"/>
      <c r="F33" s="81"/>
      <c r="G33" s="81"/>
      <c r="H33" s="81"/>
      <c r="I33" s="81"/>
      <c r="J33" s="81"/>
      <c r="K33" s="81"/>
      <c r="L33" s="760"/>
      <c r="M33" s="81"/>
      <c r="N33" s="81"/>
      <c r="O33" s="81"/>
      <c r="P33" s="81"/>
      <c r="Q33" s="81"/>
      <c r="S33" s="1257" t="s">
        <v>38</v>
      </c>
      <c r="T33" s="1257"/>
      <c r="U33" s="763"/>
      <c r="V33" s="1258" t="str">
        <f>IF(TITLE_IST_PUB_CHANGE="",IF(TITLE_IST_PUB="","",TITLE_IST_PUB),TITLE_IST_PUB_CHANGE)</f>
        <v/>
      </c>
      <c r="W33" s="1258"/>
      <c r="X33" s="1258"/>
      <c r="Y33" s="1258"/>
      <c r="Z33" s="1258"/>
      <c r="AA33" s="12"/>
      <c r="AB33" s="1258" t="str">
        <f>IF(TITLE_IST_PUB_CHANGE="",IF(TITLE_IST_PUB="","",TITLE_IST_PUB),TITLE_IST_PUB_CHANGE)</f>
        <v/>
      </c>
      <c r="AC33" s="1258"/>
      <c r="AD33" s="1258"/>
      <c r="AE33" s="1258"/>
      <c r="AF33" s="1258"/>
      <c r="AG33" s="1258"/>
      <c r="AH33" s="1258"/>
      <c r="AI33" s="1258"/>
      <c r="AJ33" s="1258"/>
      <c r="AK33" s="1258"/>
      <c r="AL33" s="1258"/>
      <c r="AM33" s="1258"/>
      <c r="AN33" s="1258"/>
      <c r="AO33" s="1258"/>
      <c r="AP33" s="1258"/>
      <c r="AQ33" s="1258"/>
      <c r="AR33" s="1258"/>
      <c r="AS33" s="12"/>
      <c r="AT33" s="12"/>
      <c r="AU33" s="161"/>
      <c r="AV33" s="69"/>
      <c r="AW33" s="69"/>
      <c r="AX33" s="69"/>
      <c r="AY33" s="69"/>
      <c r="AZ33" s="69"/>
    </row>
    <row r="34" spans="1:52" ht="14.25" hidden="1" customHeight="1">
      <c r="Q34" s="166"/>
      <c r="R34" s="29"/>
      <c r="S34" s="729"/>
      <c r="T34" s="11"/>
      <c r="U34" s="11"/>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row>
    <row r="35" spans="1:52" s="36" customFormat="1" ht="18.75" hidden="1" customHeight="1">
      <c r="A35" s="81"/>
      <c r="B35" s="81"/>
      <c r="C35" s="81"/>
      <c r="D35" s="81"/>
      <c r="E35" s="81"/>
      <c r="F35" s="81"/>
      <c r="G35" s="81"/>
      <c r="H35" s="81"/>
      <c r="I35" s="81"/>
      <c r="J35" s="81"/>
      <c r="K35" s="81"/>
      <c r="L35" s="760"/>
      <c r="M35" s="81"/>
      <c r="N35" s="81"/>
      <c r="O35" s="81"/>
      <c r="P35" s="81"/>
      <c r="Q35" s="81"/>
      <c r="S35" s="1257" t="s">
        <v>422</v>
      </c>
      <c r="T35" s="1257"/>
      <c r="U35" s="763"/>
      <c r="V35" s="1267" t="str">
        <f>IF(TITLE_DATE_PR_CHANGE="",IF(TITLE_DATE_PR="","",TITLE_DATE_PR),TITLE_DATE_PR_CHANGE)</f>
        <v/>
      </c>
      <c r="W35" s="1267"/>
      <c r="X35" s="1267"/>
      <c r="Y35" s="1267"/>
      <c r="Z35" s="1267"/>
      <c r="AA35" s="12"/>
      <c r="AB35" s="1267" t="str">
        <f>IF(TITLE_DATE_PR_CHANGE="",IF(TITLE_DATE_PR="","",TITLE_DATE_PR),TITLE_DATE_PR_CHANGE)</f>
        <v/>
      </c>
      <c r="AC35" s="1267"/>
      <c r="AD35" s="1267"/>
      <c r="AE35" s="1267"/>
      <c r="AF35" s="1267"/>
      <c r="AG35" s="1267"/>
      <c r="AH35" s="1267"/>
      <c r="AI35" s="1267"/>
      <c r="AJ35" s="1267"/>
      <c r="AK35" s="1267"/>
      <c r="AL35" s="1267"/>
      <c r="AM35" s="1267"/>
      <c r="AN35" s="1267"/>
      <c r="AO35" s="1267"/>
      <c r="AP35" s="1267"/>
      <c r="AQ35" s="1267"/>
      <c r="AR35" s="1267"/>
      <c r="AS35" s="12"/>
      <c r="AT35" s="12"/>
      <c r="AU35" s="161"/>
      <c r="AV35" s="69"/>
      <c r="AW35" s="69"/>
      <c r="AX35" s="69"/>
      <c r="AY35" s="69"/>
      <c r="AZ35" s="69"/>
    </row>
    <row r="36" spans="1:52" s="36" customFormat="1" ht="18" hidden="1" customHeight="1">
      <c r="A36" s="81"/>
      <c r="B36" s="81"/>
      <c r="C36" s="81"/>
      <c r="D36" s="81"/>
      <c r="E36" s="81"/>
      <c r="F36" s="81"/>
      <c r="G36" s="81"/>
      <c r="H36" s="81"/>
      <c r="I36" s="81"/>
      <c r="J36" s="81"/>
      <c r="K36" s="81"/>
      <c r="L36" s="760"/>
      <c r="M36" s="81"/>
      <c r="N36" s="81"/>
      <c r="O36" s="81"/>
      <c r="P36" s="81"/>
      <c r="Q36" s="81"/>
      <c r="S36" s="1257" t="s">
        <v>423</v>
      </c>
      <c r="T36" s="1257"/>
      <c r="U36" s="763"/>
      <c r="V36" s="1258" t="str">
        <f>IF(TITLE_NUMBER_PR_CHANGE="",IF(TITLE_NUMBER_PR="","",TITLE_NUMBER_PR),TITLE_NUMBER_PR_CHANGE)</f>
        <v/>
      </c>
      <c r="W36" s="1258"/>
      <c r="X36" s="1258"/>
      <c r="Y36" s="1258"/>
      <c r="Z36" s="1258"/>
      <c r="AA36" s="12"/>
      <c r="AB36" s="1258" t="str">
        <f>IF(TITLE_NUMBER_PR_CHANGE="",IF(TITLE_NUMBER_PR="","",TITLE_NUMBER_PR),TITLE_NUMBER_PR_CHANGE)</f>
        <v/>
      </c>
      <c r="AC36" s="1258"/>
      <c r="AD36" s="1258"/>
      <c r="AE36" s="1258"/>
      <c r="AF36" s="1258"/>
      <c r="AG36" s="1258"/>
      <c r="AH36" s="1258"/>
      <c r="AI36" s="1258"/>
      <c r="AJ36" s="1258"/>
      <c r="AK36" s="1258"/>
      <c r="AL36" s="1258"/>
      <c r="AM36" s="1258"/>
      <c r="AN36" s="1258"/>
      <c r="AO36" s="1258"/>
      <c r="AP36" s="1258"/>
      <c r="AQ36" s="1258"/>
      <c r="AR36" s="1258"/>
      <c r="AS36" s="12"/>
      <c r="AT36" s="12"/>
      <c r="AU36" s="161"/>
      <c r="AV36" s="69"/>
      <c r="AW36" s="69"/>
      <c r="AX36" s="69"/>
      <c r="AY36" s="69"/>
      <c r="AZ36" s="69"/>
    </row>
    <row r="37" spans="1:52" s="36" customFormat="1" ht="0.75" customHeight="1">
      <c r="A37" s="81"/>
      <c r="B37" s="81"/>
      <c r="C37" s="81"/>
      <c r="D37" s="81"/>
      <c r="E37" s="81"/>
      <c r="F37" s="81"/>
      <c r="G37" s="81"/>
      <c r="H37" s="81"/>
      <c r="I37" s="81"/>
      <c r="J37" s="81"/>
      <c r="K37" s="81"/>
      <c r="L37" s="760"/>
      <c r="M37" s="81"/>
      <c r="N37" s="81"/>
      <c r="O37" s="81"/>
      <c r="P37" s="81"/>
      <c r="Q37" s="81"/>
      <c r="S37" s="12"/>
      <c r="T37" s="12"/>
      <c r="U37" s="77"/>
      <c r="V37" s="12"/>
      <c r="W37" s="12"/>
      <c r="X37" s="12"/>
      <c r="Y37" s="12"/>
      <c r="Z37" s="12"/>
      <c r="AA37" s="68" t="s">
        <v>426</v>
      </c>
      <c r="AB37" s="12"/>
      <c r="AC37" s="12"/>
      <c r="AD37" s="12"/>
      <c r="AE37" s="12"/>
      <c r="AF37" s="12"/>
      <c r="AG37" s="12"/>
      <c r="AH37" s="12"/>
      <c r="AI37" s="12"/>
      <c r="AJ37" s="12"/>
      <c r="AK37" s="12"/>
      <c r="AL37" s="12"/>
      <c r="AM37" s="12"/>
      <c r="AN37" s="12"/>
      <c r="AO37" s="12"/>
      <c r="AP37" s="12"/>
      <c r="AQ37" s="12"/>
      <c r="AR37" s="12"/>
      <c r="AS37" s="68" t="s">
        <v>426</v>
      </c>
      <c r="AV37" s="69"/>
      <c r="AW37" s="69"/>
      <c r="AX37" s="69"/>
      <c r="AY37" s="69"/>
      <c r="AZ37" s="69"/>
    </row>
    <row r="38" spans="1:52" ht="14.25" customHeight="1">
      <c r="Q38" s="166"/>
      <c r="R38" s="29"/>
      <c r="S38" s="729"/>
      <c r="T38" s="11"/>
      <c r="U38" s="709"/>
      <c r="V38" s="1259"/>
      <c r="W38" s="1259"/>
      <c r="X38" s="1259"/>
      <c r="Y38" s="1259"/>
      <c r="Z38" s="1259"/>
      <c r="AA38" s="1259"/>
      <c r="AB38" s="1259"/>
      <c r="AC38" s="1259"/>
      <c r="AD38" s="1259"/>
      <c r="AE38" s="1259"/>
      <c r="AF38" s="1259"/>
      <c r="AG38" s="1259"/>
      <c r="AH38" s="1259"/>
      <c r="AI38" s="1259"/>
      <c r="AJ38" s="1259"/>
      <c r="AK38" s="1259"/>
      <c r="AL38" s="1259"/>
      <c r="AM38" s="1259"/>
      <c r="AN38" s="1259"/>
      <c r="AO38" s="1259"/>
      <c r="AP38" s="1259"/>
      <c r="AQ38" s="1259"/>
      <c r="AR38" s="1259"/>
      <c r="AS38" s="1259"/>
    </row>
    <row r="39" spans="1:52" ht="14.25" customHeight="1">
      <c r="Q39" s="166"/>
      <c r="R39" s="29"/>
      <c r="S39" s="1146" t="s">
        <v>299</v>
      </c>
      <c r="T39" s="1146"/>
      <c r="U39" s="1146"/>
      <c r="V39" s="1146"/>
      <c r="W39" s="1146"/>
      <c r="X39" s="1146"/>
      <c r="Y39" s="1146"/>
      <c r="Z39" s="1146"/>
      <c r="AA39" s="1146"/>
      <c r="AB39" s="1193"/>
      <c r="AC39" s="1193"/>
      <c r="AD39" s="1193"/>
      <c r="AE39" s="1193"/>
      <c r="AF39" s="1146"/>
      <c r="AG39" s="1146"/>
      <c r="AH39" s="1146"/>
      <c r="AI39" s="1146"/>
      <c r="AJ39" s="1146"/>
      <c r="AK39" s="1146"/>
      <c r="AL39" s="1146"/>
      <c r="AM39" s="1146"/>
      <c r="AN39" s="1146"/>
      <c r="AO39" s="1146"/>
      <c r="AP39" s="1146"/>
      <c r="AQ39" s="1146"/>
      <c r="AR39" s="1146"/>
      <c r="AS39" s="1146"/>
      <c r="AT39" s="1146"/>
      <c r="AU39" s="1146" t="s">
        <v>300</v>
      </c>
    </row>
    <row r="40" spans="1:52" ht="14.25" customHeight="1">
      <c r="Q40" s="166"/>
      <c r="R40" s="29"/>
      <c r="S40" s="1273" t="s">
        <v>84</v>
      </c>
      <c r="T40" s="1224" t="s">
        <v>472</v>
      </c>
      <c r="U40" s="170"/>
      <c r="V40" s="1275"/>
      <c r="W40" s="1275"/>
      <c r="X40" s="1275"/>
      <c r="Y40" s="1275"/>
      <c r="Z40" s="1276"/>
      <c r="AA40" s="1318" t="s">
        <v>429</v>
      </c>
      <c r="AB40" s="1310" t="s">
        <v>473</v>
      </c>
      <c r="AC40" s="1291"/>
      <c r="AD40" s="1291"/>
      <c r="AE40" s="1311"/>
      <c r="AF40" s="1291" t="s">
        <v>474</v>
      </c>
      <c r="AG40" s="1291"/>
      <c r="AH40" s="1291"/>
      <c r="AI40" s="1311"/>
      <c r="AJ40" s="1310" t="s">
        <v>475</v>
      </c>
      <c r="AK40" s="1291"/>
      <c r="AL40" s="1291"/>
      <c r="AM40" s="1311"/>
      <c r="AN40" s="1310" t="s">
        <v>428</v>
      </c>
      <c r="AO40" s="1291"/>
      <c r="AP40" s="1275"/>
      <c r="AQ40" s="1275"/>
      <c r="AR40" s="1276"/>
      <c r="AS40" s="1277" t="s">
        <v>429</v>
      </c>
      <c r="AT40" s="1280" t="s">
        <v>431</v>
      </c>
      <c r="AU40" s="1146"/>
    </row>
    <row r="41" spans="1:52" ht="33.75" customHeight="1">
      <c r="Q41" s="166"/>
      <c r="R41" s="29"/>
      <c r="S41" s="1273"/>
      <c r="T41" s="1224"/>
      <c r="U41" s="595"/>
      <c r="V41" s="1146" t="s">
        <v>476</v>
      </c>
      <c r="W41" s="1146"/>
      <c r="X41" s="1210" t="s">
        <v>435</v>
      </c>
      <c r="Y41" s="1305"/>
      <c r="Z41" s="1211"/>
      <c r="AA41" s="1319"/>
      <c r="AB41" s="1312"/>
      <c r="AC41" s="1313"/>
      <c r="AD41" s="1313"/>
      <c r="AE41" s="1314"/>
      <c r="AF41" s="1313"/>
      <c r="AG41" s="1313"/>
      <c r="AH41" s="1313"/>
      <c r="AI41" s="1314"/>
      <c r="AJ41" s="1312"/>
      <c r="AK41" s="1313"/>
      <c r="AL41" s="1313"/>
      <c r="AM41" s="1313"/>
      <c r="AN41" s="1146" t="s">
        <v>476</v>
      </c>
      <c r="AO41" s="1146"/>
      <c r="AP41" s="1305" t="s">
        <v>435</v>
      </c>
      <c r="AQ41" s="1305"/>
      <c r="AR41" s="1211"/>
      <c r="AS41" s="1278"/>
      <c r="AT41" s="1281"/>
      <c r="AU41" s="1146"/>
    </row>
    <row r="42" spans="1:52" ht="14.25" customHeight="1">
      <c r="Q42" s="166"/>
      <c r="R42" s="29"/>
      <c r="S42" s="1273"/>
      <c r="T42" s="1224"/>
      <c r="U42" s="595"/>
      <c r="V42" s="1321"/>
      <c r="W42" s="1321"/>
      <c r="X42" s="1215"/>
      <c r="Y42" s="1306"/>
      <c r="Z42" s="1216"/>
      <c r="AA42" s="1319"/>
      <c r="AB42" s="1312"/>
      <c r="AC42" s="1313"/>
      <c r="AD42" s="1313"/>
      <c r="AE42" s="1314"/>
      <c r="AF42" s="1313"/>
      <c r="AG42" s="1313"/>
      <c r="AH42" s="1313"/>
      <c r="AI42" s="1314"/>
      <c r="AJ42" s="1312"/>
      <c r="AK42" s="1313"/>
      <c r="AL42" s="1313"/>
      <c r="AM42" s="1313"/>
      <c r="AN42" s="1321"/>
      <c r="AO42" s="1321"/>
      <c r="AP42" s="1306"/>
      <c r="AQ42" s="1306"/>
      <c r="AR42" s="1216"/>
      <c r="AS42" s="1278"/>
      <c r="AT42" s="1281"/>
      <c r="AU42" s="1146"/>
    </row>
    <row r="43" spans="1:52" ht="14.25" customHeight="1">
      <c r="A43" s="81"/>
      <c r="B43" s="81" t="s">
        <v>136</v>
      </c>
      <c r="C43" s="81" t="s">
        <v>137</v>
      </c>
      <c r="D43" s="81" t="s">
        <v>138</v>
      </c>
      <c r="E43" s="760" t="s">
        <v>436</v>
      </c>
      <c r="F43" s="760" t="s">
        <v>437</v>
      </c>
      <c r="G43" s="760" t="s">
        <v>438</v>
      </c>
      <c r="H43" s="760" t="s">
        <v>439</v>
      </c>
      <c r="I43" s="760" t="s">
        <v>440</v>
      </c>
      <c r="J43" s="760" t="s">
        <v>441</v>
      </c>
      <c r="K43" s="760" t="s">
        <v>442</v>
      </c>
      <c r="L43" s="760" t="s">
        <v>417</v>
      </c>
      <c r="Q43" s="166"/>
      <c r="R43" s="29"/>
      <c r="S43" s="1273"/>
      <c r="T43" s="1224"/>
      <c r="U43" s="171"/>
      <c r="V43" s="37" t="s">
        <v>477</v>
      </c>
      <c r="W43" s="37" t="s">
        <v>478</v>
      </c>
      <c r="X43" s="40" t="s">
        <v>445</v>
      </c>
      <c r="Y43" s="1233" t="s">
        <v>446</v>
      </c>
      <c r="Z43" s="1235"/>
      <c r="AA43" s="1320"/>
      <c r="AB43" s="1315"/>
      <c r="AC43" s="1316"/>
      <c r="AD43" s="1316"/>
      <c r="AE43" s="1317"/>
      <c r="AF43" s="1316"/>
      <c r="AG43" s="1316"/>
      <c r="AH43" s="1316"/>
      <c r="AI43" s="1317"/>
      <c r="AJ43" s="1315"/>
      <c r="AK43" s="1316"/>
      <c r="AL43" s="1316"/>
      <c r="AM43" s="1317"/>
      <c r="AN43" s="996" t="s">
        <v>477</v>
      </c>
      <c r="AO43" s="996" t="s">
        <v>478</v>
      </c>
      <c r="AP43" s="40" t="s">
        <v>445</v>
      </c>
      <c r="AQ43" s="1233" t="s">
        <v>446</v>
      </c>
      <c r="AR43" s="1235"/>
      <c r="AS43" s="1279"/>
      <c r="AT43" s="1282"/>
      <c r="AU43" s="1146"/>
    </row>
    <row r="44" spans="1:52" s="201" customFormat="1" ht="11.25" hidden="1" customHeight="1">
      <c r="A44" s="81"/>
      <c r="B44" s="81"/>
      <c r="C44" s="81"/>
      <c r="D44" s="81"/>
      <c r="E44" s="81"/>
      <c r="F44" s="81"/>
      <c r="G44" s="81"/>
      <c r="H44" s="81"/>
      <c r="I44" s="81"/>
      <c r="J44" s="81"/>
      <c r="K44" s="81"/>
      <c r="L44" s="760"/>
      <c r="M44" s="497"/>
      <c r="N44" s="497"/>
      <c r="O44" s="497"/>
      <c r="P44" s="288"/>
      <c r="Q44" s="714"/>
      <c r="R44" s="714">
        <v>1</v>
      </c>
      <c r="S44" s="731" t="s">
        <v>105</v>
      </c>
      <c r="T44" s="715" t="s">
        <v>106</v>
      </c>
      <c r="U44" s="710" t="str">
        <f ca="1">OFFSET(U44,0,-1)</f>
        <v>2</v>
      </c>
      <c r="V44" s="716">
        <f ca="1">OFFSET(V44,0,-1)+1</f>
        <v>3</v>
      </c>
      <c r="W44" s="716">
        <f ca="1">OFFSET(W44,0,-1)+1</f>
        <v>4</v>
      </c>
      <c r="X44" s="716">
        <f ca="1">OFFSET(X44,0,-1)+1</f>
        <v>5</v>
      </c>
      <c r="Y44" s="1272">
        <f ca="1">OFFSET(Y44,0,-1)+1</f>
        <v>6</v>
      </c>
      <c r="Z44" s="1272"/>
      <c r="AA44" s="716">
        <f ca="1">OFFSET(AA44,0,-2)+1</f>
        <v>7</v>
      </c>
      <c r="AB44" s="284">
        <f ca="1">OFFSET(AB44,0,-1)+1</f>
        <v>8</v>
      </c>
      <c r="AC44" s="284"/>
      <c r="AD44" s="284"/>
      <c r="AE44" s="284"/>
      <c r="AF44" s="716"/>
      <c r="AG44" s="716"/>
      <c r="AH44" s="716"/>
      <c r="AI44" s="716"/>
      <c r="AJ44" s="716"/>
      <c r="AK44" s="716"/>
      <c r="AL44" s="716"/>
      <c r="AM44" s="716"/>
      <c r="AN44" s="716">
        <f ca="1">OFFSET(AN44,0,-1)+1</f>
        <v>1</v>
      </c>
      <c r="AO44" s="716">
        <f ca="1">OFFSET(AO44,0,-1)+1</f>
        <v>2</v>
      </c>
      <c r="AP44" s="716">
        <f ca="1">OFFSET(AP44,0,-1)+1</f>
        <v>3</v>
      </c>
      <c r="AQ44" s="1272">
        <f ca="1">OFFSET(AQ44,0,-1)+1</f>
        <v>4</v>
      </c>
      <c r="AR44" s="1272"/>
      <c r="AS44" s="716">
        <f ca="1">OFFSET(AS44,0,-2)+1</f>
        <v>5</v>
      </c>
      <c r="AT44" s="710">
        <f ca="1">OFFSET(AT44,0,-1)</f>
        <v>5</v>
      </c>
      <c r="AU44" s="716">
        <f ca="1">OFFSET(AU44,0,-1)+1</f>
        <v>6</v>
      </c>
      <c r="AV44" s="68"/>
      <c r="AW44" s="68"/>
      <c r="AX44" s="68"/>
      <c r="AY44" s="68"/>
      <c r="AZ44" s="68"/>
    </row>
    <row r="45" spans="1:52" ht="102" customHeight="1">
      <c r="A45" s="759" t="s">
        <v>199</v>
      </c>
      <c r="B45" s="759"/>
      <c r="C45" s="759"/>
      <c r="D45" s="759"/>
      <c r="E45" s="1265">
        <v>1</v>
      </c>
      <c r="F45" s="759"/>
      <c r="G45" s="759"/>
      <c r="H45" s="759"/>
      <c r="I45" s="759"/>
      <c r="J45" s="759"/>
      <c r="K45" s="759"/>
      <c r="L45" s="760"/>
      <c r="M45" s="417"/>
      <c r="N45" s="417"/>
      <c r="O45" s="417"/>
      <c r="Q45" s="62"/>
      <c r="R45" s="205"/>
      <c r="S45" s="698">
        <f>INDEX(PT_DIFFERENTIATION_NUM_NTAR,MATCH(A45,PT_DIFFERENTIATION_NTAR_ID,0))</f>
        <v>0</v>
      </c>
      <c r="T45" s="67" t="s">
        <v>124</v>
      </c>
      <c r="U45" s="169"/>
      <c r="V45" s="1252"/>
      <c r="W45" s="1252"/>
      <c r="X45" s="1252"/>
      <c r="Y45" s="1252"/>
      <c r="Z45" s="1252"/>
      <c r="AA45" s="1253"/>
      <c r="AB45" s="1251" t="str">
        <f>INDEX(PT_DIFFERENTIATION_NTAR,MATCH(A45,PT_DIFFERENTIATION_NTAR_ID,0))</f>
        <v/>
      </c>
      <c r="AC45" s="1252"/>
      <c r="AD45" s="1252"/>
      <c r="AE45" s="1252"/>
      <c r="AF45" s="1252"/>
      <c r="AG45" s="1252"/>
      <c r="AH45" s="1252"/>
      <c r="AI45" s="1252"/>
      <c r="AJ45" s="1252"/>
      <c r="AK45" s="1252"/>
      <c r="AL45" s="1252"/>
      <c r="AM45" s="1252"/>
      <c r="AN45" s="1252"/>
      <c r="AO45" s="1252"/>
      <c r="AP45" s="1252"/>
      <c r="AQ45" s="1252"/>
      <c r="AR45" s="1252"/>
      <c r="AS45" s="1252"/>
      <c r="AT45" s="1253"/>
      <c r="AU45" s="71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row>
    <row r="46" spans="1:52" ht="21" customHeight="1">
      <c r="A46" s="759" t="s">
        <v>199</v>
      </c>
      <c r="B46" s="759" t="s">
        <v>200</v>
      </c>
      <c r="C46" s="759"/>
      <c r="D46" s="759"/>
      <c r="E46" s="1266"/>
      <c r="F46" s="1265">
        <v>1</v>
      </c>
      <c r="G46" s="759"/>
      <c r="H46" s="759"/>
      <c r="I46" s="759"/>
      <c r="J46" s="759"/>
      <c r="K46" s="759"/>
      <c r="L46" s="760"/>
      <c r="M46" s="417"/>
      <c r="N46" s="417"/>
      <c r="O46" s="417"/>
      <c r="P46" s="299"/>
      <c r="Q46" s="792"/>
      <c r="R46" s="203"/>
      <c r="S46" s="698" t="str">
        <f>INDEX(PT_DIFFERENTIATION_NUM_TER,MATCH(B46,PT_DIFFERENTIATION_TER_ID,0))</f>
        <v>.</v>
      </c>
      <c r="T46" s="175" t="s">
        <v>396</v>
      </c>
      <c r="U46" s="169"/>
      <c r="V46" s="1252"/>
      <c r="W46" s="1252"/>
      <c r="X46" s="1252"/>
      <c r="Y46" s="1252"/>
      <c r="Z46" s="1252"/>
      <c r="AA46" s="1253"/>
      <c r="AB46" s="1251" t="str">
        <f>INDEX(PT_DIFFERENTIATION_TER,MATCH(B46,PT_DIFFERENTIATION_TER_ID,0))</f>
        <v/>
      </c>
      <c r="AC46" s="1252"/>
      <c r="AD46" s="1252"/>
      <c r="AE46" s="1252"/>
      <c r="AF46" s="1252"/>
      <c r="AG46" s="1252"/>
      <c r="AH46" s="1252"/>
      <c r="AI46" s="1252"/>
      <c r="AJ46" s="1252"/>
      <c r="AK46" s="1252"/>
      <c r="AL46" s="1252"/>
      <c r="AM46" s="1252"/>
      <c r="AN46" s="1252"/>
      <c r="AO46" s="1252"/>
      <c r="AP46" s="1252"/>
      <c r="AQ46" s="1252"/>
      <c r="AR46" s="1252"/>
      <c r="AS46" s="1252"/>
      <c r="AT46" s="1253"/>
      <c r="AU46" s="718" t="s">
        <v>397</v>
      </c>
      <c r="AW46" s="69"/>
      <c r="AX46" s="69" t="str">
        <f t="shared" si="2"/>
        <v>Территория действия тарифа</v>
      </c>
      <c r="AY46" s="69"/>
      <c r="AZ46" s="69"/>
    </row>
    <row r="47" spans="1:52" ht="23.25" customHeight="1">
      <c r="A47" s="759" t="s">
        <v>199</v>
      </c>
      <c r="B47" s="759" t="s">
        <v>200</v>
      </c>
      <c r="C47" s="759" t="s">
        <v>201</v>
      </c>
      <c r="D47" s="759"/>
      <c r="E47" s="1266"/>
      <c r="F47" s="1266"/>
      <c r="G47" s="1265">
        <v>1</v>
      </c>
      <c r="H47" s="759"/>
      <c r="I47" s="759"/>
      <c r="J47" s="759"/>
      <c r="K47" s="759"/>
      <c r="L47" s="760"/>
      <c r="M47" s="417"/>
      <c r="N47" s="417"/>
      <c r="O47" s="417"/>
      <c r="P47" s="129"/>
      <c r="Q47" s="792"/>
      <c r="R47" s="203"/>
      <c r="S47" s="698" t="str">
        <f>INDEX(PT_DIFFERENTIATION_NUM_CS,MATCH(C47,PT_DIFFERENTIATION_CS_ID,0))</f>
        <v>..</v>
      </c>
      <c r="T47" s="176" t="s">
        <v>398</v>
      </c>
      <c r="U47" s="169"/>
      <c r="V47" s="1252"/>
      <c r="W47" s="1252"/>
      <c r="X47" s="1252"/>
      <c r="Y47" s="1252"/>
      <c r="Z47" s="1252"/>
      <c r="AA47" s="1253"/>
      <c r="AB47" s="1251" t="str">
        <f>INDEX(PT_DIFFERENTIATION_CS,MATCH(C47,PT_DIFFERENTIATION_CS_ID,0))</f>
        <v/>
      </c>
      <c r="AC47" s="1252"/>
      <c r="AD47" s="1252"/>
      <c r="AE47" s="1252"/>
      <c r="AF47" s="1252"/>
      <c r="AG47" s="1252"/>
      <c r="AH47" s="1252"/>
      <c r="AI47" s="1252"/>
      <c r="AJ47" s="1252"/>
      <c r="AK47" s="1252"/>
      <c r="AL47" s="1252"/>
      <c r="AM47" s="1252"/>
      <c r="AN47" s="1252"/>
      <c r="AO47" s="1252"/>
      <c r="AP47" s="1252"/>
      <c r="AQ47" s="1252"/>
      <c r="AR47" s="1252"/>
      <c r="AS47" s="1252"/>
      <c r="AT47" s="1253"/>
      <c r="AU47" s="718" t="s">
        <v>399</v>
      </c>
      <c r="AW47" s="69"/>
      <c r="AX47" s="69" t="str">
        <f t="shared" si="2"/>
        <v xml:space="preserve">Наименование системы теплоснабжения </v>
      </c>
      <c r="AY47" s="69"/>
      <c r="AZ47" s="69"/>
    </row>
    <row r="48" spans="1:52" ht="21" customHeight="1">
      <c r="A48" s="759" t="s">
        <v>199</v>
      </c>
      <c r="B48" s="759" t="s">
        <v>200</v>
      </c>
      <c r="C48" s="759" t="s">
        <v>201</v>
      </c>
      <c r="D48" s="759" t="s">
        <v>202</v>
      </c>
      <c r="E48" s="1266"/>
      <c r="F48" s="1266"/>
      <c r="G48" s="1266"/>
      <c r="H48" s="1265">
        <v>1</v>
      </c>
      <c r="I48" s="759"/>
      <c r="J48" s="759"/>
      <c r="K48" s="759"/>
      <c r="L48" s="760"/>
      <c r="M48" s="417"/>
      <c r="N48" s="417"/>
      <c r="O48" s="417"/>
      <c r="P48" s="129"/>
      <c r="Q48" s="792"/>
      <c r="R48" s="203"/>
      <c r="S48" s="698" t="str">
        <f>INDEX(PT_DIFFERENTIATION_NUM_IST_TE,MATCH(D48,PT_DIFFERENTIATION_IST_TE_ID,0))</f>
        <v>...</v>
      </c>
      <c r="T48" s="177" t="s">
        <v>400</v>
      </c>
      <c r="U48" s="169"/>
      <c r="V48" s="1252"/>
      <c r="W48" s="1252"/>
      <c r="X48" s="1252"/>
      <c r="Y48" s="1252"/>
      <c r="Z48" s="1252"/>
      <c r="AA48" s="1253"/>
      <c r="AB48" s="1251" t="str">
        <f>INDEX(PT_DIFFERENTIATION_IST_TE,MATCH(D48,PT_DIFFERENTIATION_IST_TE_ID,0))</f>
        <v/>
      </c>
      <c r="AC48" s="1252"/>
      <c r="AD48" s="1252"/>
      <c r="AE48" s="1252"/>
      <c r="AF48" s="1252"/>
      <c r="AG48" s="1252"/>
      <c r="AH48" s="1252"/>
      <c r="AI48" s="1252"/>
      <c r="AJ48" s="1252"/>
      <c r="AK48" s="1252"/>
      <c r="AL48" s="1252"/>
      <c r="AM48" s="1252"/>
      <c r="AN48" s="1252"/>
      <c r="AO48" s="1252"/>
      <c r="AP48" s="1252"/>
      <c r="AQ48" s="1252"/>
      <c r="AR48" s="1252"/>
      <c r="AS48" s="1252"/>
      <c r="AT48" s="1253"/>
      <c r="AU48" s="718" t="s">
        <v>401</v>
      </c>
      <c r="AW48" s="69"/>
      <c r="AX48" s="69" t="str">
        <f t="shared" si="2"/>
        <v xml:space="preserve">Источник тепловой энергии  </v>
      </c>
      <c r="AY48" s="69"/>
      <c r="AZ48" s="69"/>
    </row>
    <row r="49" spans="1:52" s="68" customFormat="1" ht="0.75" customHeight="1">
      <c r="A49" s="143" t="s">
        <v>199</v>
      </c>
      <c r="B49" s="143" t="s">
        <v>200</v>
      </c>
      <c r="C49" s="143" t="s">
        <v>201</v>
      </c>
      <c r="D49" s="143" t="s">
        <v>202</v>
      </c>
      <c r="E49" s="1266"/>
      <c r="F49" s="1266"/>
      <c r="G49" s="1266"/>
      <c r="H49" s="1266"/>
      <c r="I49" s="1263" t="str">
        <f>S48&amp;".1"</f>
        <v>....1</v>
      </c>
      <c r="J49" s="143"/>
      <c r="K49" s="143"/>
      <c r="L49" s="338" t="s">
        <v>402</v>
      </c>
      <c r="M49" s="288"/>
      <c r="N49" s="288"/>
      <c r="O49" s="288"/>
      <c r="P49" s="1264">
        <v>1</v>
      </c>
      <c r="Q49" s="120"/>
      <c r="R49" s="206"/>
      <c r="S49" s="353"/>
      <c r="T49" s="769"/>
      <c r="U49" s="770"/>
      <c r="V49" s="1295"/>
      <c r="W49" s="1295"/>
      <c r="X49" s="1295"/>
      <c r="Y49" s="1295"/>
      <c r="Z49" s="1295"/>
      <c r="AA49" s="1296"/>
      <c r="AB49" s="1294"/>
      <c r="AC49" s="1295"/>
      <c r="AD49" s="1295"/>
      <c r="AE49" s="1295"/>
      <c r="AF49" s="1295"/>
      <c r="AG49" s="1295"/>
      <c r="AH49" s="1295"/>
      <c r="AI49" s="1295"/>
      <c r="AJ49" s="1295"/>
      <c r="AK49" s="1295"/>
      <c r="AL49" s="1295"/>
      <c r="AM49" s="1295"/>
      <c r="AN49" s="1295"/>
      <c r="AO49" s="1295"/>
      <c r="AP49" s="1295"/>
      <c r="AQ49" s="1295"/>
      <c r="AR49" s="1295"/>
      <c r="AS49" s="1295"/>
      <c r="AT49" s="1296"/>
      <c r="AU49" s="771"/>
      <c r="AW49" s="69"/>
      <c r="AX49" s="69" t="str">
        <f t="shared" si="2"/>
        <v/>
      </c>
      <c r="AY49" s="69"/>
      <c r="AZ49" s="69"/>
    </row>
    <row r="50" spans="1:52" s="68" customFormat="1" ht="0.75" customHeight="1">
      <c r="A50" s="143" t="s">
        <v>199</v>
      </c>
      <c r="B50" s="143" t="s">
        <v>200</v>
      </c>
      <c r="C50" s="143" t="s">
        <v>201</v>
      </c>
      <c r="D50" s="143" t="s">
        <v>202</v>
      </c>
      <c r="E50" s="1266"/>
      <c r="F50" s="1266"/>
      <c r="G50" s="1266"/>
      <c r="H50" s="1266"/>
      <c r="I50" s="1286"/>
      <c r="J50" s="1263" t="str">
        <f>S48&amp;".1"</f>
        <v>....1</v>
      </c>
      <c r="K50" s="143"/>
      <c r="L50" s="338"/>
      <c r="M50" s="288"/>
      <c r="N50" s="288"/>
      <c r="O50" s="288"/>
      <c r="P50" s="1264"/>
      <c r="Q50" s="1264">
        <v>1</v>
      </c>
      <c r="R50" s="207"/>
      <c r="S50" s="353"/>
      <c r="T50" s="784"/>
      <c r="U50" s="770"/>
      <c r="V50" s="1295"/>
      <c r="W50" s="1295"/>
      <c r="X50" s="1295"/>
      <c r="Y50" s="1295"/>
      <c r="Z50" s="1295"/>
      <c r="AA50" s="1296"/>
      <c r="AB50" s="1294"/>
      <c r="AC50" s="1295"/>
      <c r="AD50" s="1295"/>
      <c r="AE50" s="1295"/>
      <c r="AF50" s="1295"/>
      <c r="AG50" s="1295"/>
      <c r="AH50" s="1295"/>
      <c r="AI50" s="1295"/>
      <c r="AJ50" s="1295"/>
      <c r="AK50" s="1295"/>
      <c r="AL50" s="1295"/>
      <c r="AM50" s="1295"/>
      <c r="AN50" s="1295"/>
      <c r="AO50" s="1295"/>
      <c r="AP50" s="1295"/>
      <c r="AQ50" s="1295"/>
      <c r="AR50" s="1295"/>
      <c r="AS50" s="1295"/>
      <c r="AT50" s="1296"/>
      <c r="AU50" s="771"/>
      <c r="AW50" s="69"/>
      <c r="AX50" s="69" t="str">
        <f t="shared" si="2"/>
        <v/>
      </c>
      <c r="AY50" s="69"/>
      <c r="AZ50" s="69"/>
    </row>
    <row r="51" spans="1:52" ht="21" customHeight="1">
      <c r="A51" s="759" t="s">
        <v>199</v>
      </c>
      <c r="B51" s="759" t="s">
        <v>200</v>
      </c>
      <c r="C51" s="759" t="s">
        <v>201</v>
      </c>
      <c r="D51" s="759" t="s">
        <v>202</v>
      </c>
      <c r="E51" s="1266"/>
      <c r="F51" s="1266"/>
      <c r="G51" s="1266"/>
      <c r="H51" s="1266"/>
      <c r="I51" s="1286"/>
      <c r="J51" s="1286"/>
      <c r="K51" s="1263" t="str">
        <f>S48&amp;".1"</f>
        <v>....1</v>
      </c>
      <c r="L51" s="760"/>
      <c r="P51" s="1264"/>
      <c r="Q51" s="1264"/>
      <c r="R51" s="207">
        <v>1</v>
      </c>
      <c r="S51" s="1322" t="str">
        <f>$K51</f>
        <v>....1</v>
      </c>
      <c r="T51" s="1325"/>
      <c r="U51" s="169"/>
      <c r="V51" s="304"/>
      <c r="W51" s="717"/>
      <c r="X51" s="933"/>
      <c r="Y51" s="295" t="s">
        <v>62</v>
      </c>
      <c r="Z51" s="933"/>
      <c r="AA51" s="295" t="s">
        <v>62</v>
      </c>
      <c r="AB51" s="1127" t="s">
        <v>52</v>
      </c>
      <c r="AC51" s="1308"/>
      <c r="AD51" s="1220">
        <v>1</v>
      </c>
      <c r="AE51" s="1329" t="s">
        <v>18</v>
      </c>
      <c r="AF51" s="1127" t="s">
        <v>52</v>
      </c>
      <c r="AG51" s="1308"/>
      <c r="AH51" s="1220">
        <v>1</v>
      </c>
      <c r="AI51" s="1329" t="s">
        <v>18</v>
      </c>
      <c r="AJ51" s="1127" t="s">
        <v>52</v>
      </c>
      <c r="AK51" s="178"/>
      <c r="AL51" s="266">
        <v>1</v>
      </c>
      <c r="AM51" s="321"/>
      <c r="AN51" s="304"/>
      <c r="AO51" s="717"/>
      <c r="AP51" s="933"/>
      <c r="AQ51" s="295" t="s">
        <v>62</v>
      </c>
      <c r="AR51" s="933"/>
      <c r="AS51" s="295" t="s">
        <v>62</v>
      </c>
      <c r="AT51" s="756"/>
      <c r="AU51" s="1260" t="s">
        <v>479</v>
      </c>
      <c r="AV51" s="68" t="e">
        <f ca="1">STRCHECKDATE(V54:AT54)</f>
        <v>#NAME?</v>
      </c>
      <c r="AW51" s="69"/>
      <c r="AX51" s="69" t="str">
        <f t="shared" si="2"/>
        <v/>
      </c>
      <c r="AY51" s="69"/>
      <c r="AZ51" s="69"/>
    </row>
    <row r="52" spans="1:52" ht="11.25" customHeight="1">
      <c r="A52" s="759" t="s">
        <v>199</v>
      </c>
      <c r="B52" s="759"/>
      <c r="C52" s="759"/>
      <c r="D52" s="759"/>
      <c r="E52" s="1266"/>
      <c r="F52" s="1266"/>
      <c r="G52" s="1266"/>
      <c r="H52" s="1266"/>
      <c r="I52" s="1286"/>
      <c r="J52" s="1286"/>
      <c r="K52" s="1263"/>
      <c r="L52" s="760"/>
      <c r="P52" s="1264"/>
      <c r="Q52" s="1264"/>
      <c r="R52" s="207"/>
      <c r="S52" s="1323"/>
      <c r="T52" s="1326"/>
      <c r="U52" s="169"/>
      <c r="V52" s="779"/>
      <c r="W52" s="809"/>
      <c r="X52" s="779"/>
      <c r="Y52" s="779"/>
      <c r="Z52" s="779"/>
      <c r="AA52" s="779"/>
      <c r="AB52" s="1127"/>
      <c r="AC52" s="1308"/>
      <c r="AD52" s="1220"/>
      <c r="AE52" s="1329"/>
      <c r="AF52" s="1127"/>
      <c r="AG52" s="1308"/>
      <c r="AH52" s="1220"/>
      <c r="AI52" s="1329"/>
      <c r="AJ52" s="1127"/>
      <c r="AK52" s="182"/>
      <c r="AL52" s="53"/>
      <c r="AM52" s="108" t="s">
        <v>464</v>
      </c>
      <c r="AN52" s="779"/>
      <c r="AO52" s="809"/>
      <c r="AP52" s="779"/>
      <c r="AQ52" s="779"/>
      <c r="AR52" s="779"/>
      <c r="AS52" s="779"/>
      <c r="AT52" s="776"/>
      <c r="AU52" s="1261"/>
      <c r="AW52" s="69"/>
      <c r="AX52" s="69"/>
      <c r="AY52" s="69"/>
      <c r="AZ52" s="69"/>
    </row>
    <row r="53" spans="1:52" ht="11.25" customHeight="1">
      <c r="A53" s="759" t="s">
        <v>199</v>
      </c>
      <c r="B53" s="759"/>
      <c r="C53" s="759"/>
      <c r="D53" s="759"/>
      <c r="E53" s="1266"/>
      <c r="F53" s="1266"/>
      <c r="G53" s="1266"/>
      <c r="H53" s="1266"/>
      <c r="I53" s="1286"/>
      <c r="J53" s="1286"/>
      <c r="K53" s="1263"/>
      <c r="L53" s="760"/>
      <c r="P53" s="1264"/>
      <c r="Q53" s="1264"/>
      <c r="R53" s="207"/>
      <c r="S53" s="1323"/>
      <c r="T53" s="1326"/>
      <c r="U53" s="169"/>
      <c r="V53" s="779"/>
      <c r="W53" s="809"/>
      <c r="X53" s="779"/>
      <c r="Y53" s="779"/>
      <c r="Z53" s="779"/>
      <c r="AA53" s="779"/>
      <c r="AB53" s="1127"/>
      <c r="AC53" s="1308"/>
      <c r="AD53" s="1220"/>
      <c r="AE53" s="1329"/>
      <c r="AF53" s="1127"/>
      <c r="AG53" s="167"/>
      <c r="AH53" s="108"/>
      <c r="AI53" s="108" t="s">
        <v>465</v>
      </c>
      <c r="AJ53" s="779"/>
      <c r="AK53" s="779"/>
      <c r="AL53" s="779"/>
      <c r="AM53" s="779"/>
      <c r="AN53" s="779"/>
      <c r="AO53" s="809"/>
      <c r="AP53" s="779"/>
      <c r="AQ53" s="779"/>
      <c r="AR53" s="779"/>
      <c r="AS53" s="779"/>
      <c r="AT53" s="776"/>
      <c r="AU53" s="1261"/>
      <c r="AW53" s="69"/>
      <c r="AX53" s="69"/>
      <c r="AY53" s="69"/>
      <c r="AZ53" s="69"/>
    </row>
    <row r="54" spans="1:52" ht="11.25" customHeight="1">
      <c r="A54" s="759" t="s">
        <v>199</v>
      </c>
      <c r="B54" s="759" t="s">
        <v>200</v>
      </c>
      <c r="C54" s="759" t="s">
        <v>201</v>
      </c>
      <c r="D54" s="759" t="s">
        <v>202</v>
      </c>
      <c r="E54" s="1266"/>
      <c r="F54" s="1266"/>
      <c r="G54" s="1266"/>
      <c r="H54" s="1266"/>
      <c r="I54" s="1286"/>
      <c r="J54" s="1286"/>
      <c r="K54" s="1263"/>
      <c r="L54" s="760"/>
      <c r="P54" s="1264"/>
      <c r="Q54" s="1264"/>
      <c r="R54" s="207"/>
      <c r="S54" s="1324"/>
      <c r="T54" s="1327"/>
      <c r="U54" s="169"/>
      <c r="V54" s="779"/>
      <c r="W54" s="780" t="str">
        <f>X51&amp;"-"&amp;Z51</f>
        <v>-</v>
      </c>
      <c r="X54" s="779"/>
      <c r="Y54" s="779"/>
      <c r="Z54" s="779"/>
      <c r="AA54" s="779"/>
      <c r="AB54" s="1127"/>
      <c r="AC54" s="179"/>
      <c r="AD54" s="181"/>
      <c r="AE54" s="108" t="s">
        <v>466</v>
      </c>
      <c r="AF54" s="779"/>
      <c r="AG54" s="779"/>
      <c r="AH54" s="779"/>
      <c r="AI54" s="779"/>
      <c r="AJ54" s="779"/>
      <c r="AK54" s="779"/>
      <c r="AL54" s="779"/>
      <c r="AM54" s="779"/>
      <c r="AN54" s="779"/>
      <c r="AO54" s="780" t="str">
        <f>AP51&amp;"-"&amp;AR51</f>
        <v>-</v>
      </c>
      <c r="AP54" s="779"/>
      <c r="AQ54" s="779"/>
      <c r="AR54" s="779"/>
      <c r="AS54" s="779"/>
      <c r="AT54" s="757"/>
      <c r="AU54" s="1261"/>
      <c r="AW54" s="69"/>
      <c r="AX54" s="69" t="str">
        <f t="shared" ref="AX54:AX62" si="3">IF(T54="","",T54)</f>
        <v/>
      </c>
      <c r="AY54" s="69"/>
      <c r="AZ54" s="69"/>
    </row>
    <row r="55" spans="1:52" ht="11.25" customHeight="1">
      <c r="A55" s="759" t="s">
        <v>199</v>
      </c>
      <c r="B55" s="759" t="s">
        <v>200</v>
      </c>
      <c r="C55" s="759" t="s">
        <v>201</v>
      </c>
      <c r="D55" s="759" t="s">
        <v>202</v>
      </c>
      <c r="E55" s="1266"/>
      <c r="F55" s="1266"/>
      <c r="G55" s="1266"/>
      <c r="H55" s="1266"/>
      <c r="I55" s="1286"/>
      <c r="J55" s="1263"/>
      <c r="K55" s="759"/>
      <c r="L55" s="760"/>
      <c r="P55" s="1264"/>
      <c r="Q55" s="1264"/>
      <c r="R55" s="206"/>
      <c r="S55" s="732"/>
      <c r="T55" s="164" t="s">
        <v>467</v>
      </c>
      <c r="U55" s="211"/>
      <c r="V55" s="211"/>
      <c r="W55" s="211"/>
      <c r="X55" s="211"/>
      <c r="Y55" s="211"/>
      <c r="Z55" s="211"/>
      <c r="AA55" s="188"/>
      <c r="AB55" s="817"/>
      <c r="AC55" s="211"/>
      <c r="AD55" s="211"/>
      <c r="AE55" s="211"/>
      <c r="AF55" s="211"/>
      <c r="AG55" s="211"/>
      <c r="AH55" s="211"/>
      <c r="AI55" s="211"/>
      <c r="AJ55" s="211"/>
      <c r="AK55" s="211"/>
      <c r="AL55" s="211"/>
      <c r="AM55" s="211"/>
      <c r="AN55" s="211"/>
      <c r="AO55" s="211"/>
      <c r="AP55" s="211"/>
      <c r="AQ55" s="211"/>
      <c r="AR55" s="211"/>
      <c r="AS55" s="211"/>
      <c r="AT55" s="188"/>
      <c r="AU55" s="1262"/>
      <c r="AW55" s="69"/>
      <c r="AX55" s="69" t="str">
        <f t="shared" si="3"/>
        <v>Добавить строку</v>
      </c>
      <c r="AY55" s="69"/>
      <c r="AZ55" s="69"/>
    </row>
    <row r="56" spans="1:52" s="68" customFormat="1" ht="0.75" customHeight="1">
      <c r="A56" s="143" t="s">
        <v>199</v>
      </c>
      <c r="B56" s="143" t="s">
        <v>200</v>
      </c>
      <c r="C56" s="143" t="s">
        <v>201</v>
      </c>
      <c r="D56" s="143" t="s">
        <v>202</v>
      </c>
      <c r="E56" s="1266"/>
      <c r="F56" s="1266"/>
      <c r="G56" s="1266"/>
      <c r="H56" s="1266"/>
      <c r="I56" s="1263"/>
      <c r="J56" s="143"/>
      <c r="K56" s="143"/>
      <c r="L56" s="338"/>
      <c r="M56" s="288"/>
      <c r="N56" s="288"/>
      <c r="O56" s="288"/>
      <c r="P56" s="1264"/>
      <c r="Q56" s="120"/>
      <c r="R56" s="206"/>
      <c r="S56" s="772"/>
      <c r="T56" s="773" t="s">
        <v>411</v>
      </c>
      <c r="U56" s="774"/>
      <c r="V56" s="774"/>
      <c r="W56" s="774"/>
      <c r="X56" s="774"/>
      <c r="Y56" s="774"/>
      <c r="Z56" s="774"/>
      <c r="AA56" s="774"/>
      <c r="AB56" s="774"/>
      <c r="AC56" s="774"/>
      <c r="AD56" s="774"/>
      <c r="AE56" s="774"/>
      <c r="AF56" s="774"/>
      <c r="AG56" s="774"/>
      <c r="AH56" s="774"/>
      <c r="AI56" s="774"/>
      <c r="AJ56" s="774"/>
      <c r="AK56" s="774"/>
      <c r="AL56" s="774"/>
      <c r="AM56" s="774"/>
      <c r="AN56" s="774"/>
      <c r="AO56" s="774"/>
      <c r="AP56" s="774"/>
      <c r="AQ56" s="774"/>
      <c r="AR56" s="774"/>
      <c r="AS56" s="774"/>
      <c r="AT56" s="774"/>
      <c r="AU56" s="775"/>
      <c r="AW56" s="69"/>
      <c r="AX56" s="69" t="str">
        <f t="shared" si="3"/>
        <v>Добавить группу потребителей</v>
      </c>
      <c r="AY56" s="69"/>
      <c r="AZ56" s="69"/>
    </row>
    <row r="57" spans="1:52" s="201" customFormat="1" ht="0.75" customHeight="1">
      <c r="A57" s="143" t="s">
        <v>199</v>
      </c>
      <c r="B57" s="143" t="s">
        <v>200</v>
      </c>
      <c r="C57" s="143" t="s">
        <v>201</v>
      </c>
      <c r="D57" s="143" t="s">
        <v>202</v>
      </c>
      <c r="E57" s="1266"/>
      <c r="F57" s="1266"/>
      <c r="G57" s="1266"/>
      <c r="H57" s="1265"/>
      <c r="I57" s="143"/>
      <c r="J57" s="143"/>
      <c r="K57" s="143"/>
      <c r="L57" s="338"/>
      <c r="M57" s="291"/>
      <c r="N57" s="291"/>
      <c r="O57" s="68"/>
      <c r="P57" s="102"/>
      <c r="Q57" s="745"/>
      <c r="R57" s="785"/>
      <c r="S57" s="772"/>
      <c r="T57" s="773"/>
      <c r="U57" s="774"/>
      <c r="V57" s="774"/>
      <c r="W57" s="774"/>
      <c r="X57" s="774"/>
      <c r="Y57" s="774"/>
      <c r="Z57" s="774"/>
      <c r="AA57" s="774"/>
      <c r="AB57" s="774"/>
      <c r="AC57" s="774"/>
      <c r="AD57" s="774"/>
      <c r="AE57" s="774"/>
      <c r="AF57" s="774"/>
      <c r="AG57" s="774"/>
      <c r="AH57" s="774"/>
      <c r="AI57" s="774"/>
      <c r="AJ57" s="774"/>
      <c r="AK57" s="774"/>
      <c r="AL57" s="774"/>
      <c r="AM57" s="774"/>
      <c r="AN57" s="774"/>
      <c r="AO57" s="774"/>
      <c r="AP57" s="774"/>
      <c r="AQ57" s="774"/>
      <c r="AR57" s="774"/>
      <c r="AS57" s="774"/>
      <c r="AT57" s="774"/>
      <c r="AU57" s="775"/>
      <c r="AV57" s="68"/>
      <c r="AW57" s="69"/>
      <c r="AX57" s="69" t="str">
        <f t="shared" si="3"/>
        <v/>
      </c>
      <c r="AY57" s="69"/>
      <c r="AZ57" s="69"/>
    </row>
    <row r="58" spans="1:52" s="68" customFormat="1" ht="0.75" customHeight="1">
      <c r="A58" s="143" t="s">
        <v>199</v>
      </c>
      <c r="B58" s="143" t="s">
        <v>200</v>
      </c>
      <c r="C58" s="143" t="s">
        <v>201</v>
      </c>
      <c r="D58" s="143"/>
      <c r="E58" s="1266"/>
      <c r="F58" s="1266"/>
      <c r="G58" s="1265"/>
      <c r="H58" s="143"/>
      <c r="I58" s="143"/>
      <c r="J58" s="143"/>
      <c r="K58" s="143"/>
      <c r="L58" s="338"/>
      <c r="M58" s="291"/>
      <c r="N58" s="291"/>
      <c r="P58" s="102"/>
      <c r="Q58" s="745"/>
      <c r="R58" s="102"/>
      <c r="S58" s="750"/>
      <c r="T58" s="752" t="s">
        <v>413</v>
      </c>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W58" s="69"/>
      <c r="AX58" s="69" t="str">
        <f t="shared" si="3"/>
        <v>Добавить источник для дифференциации</v>
      </c>
      <c r="AY58" s="69"/>
      <c r="AZ58" s="69"/>
    </row>
    <row r="59" spans="1:52" s="68" customFormat="1" ht="0.75" customHeight="1">
      <c r="A59" s="143" t="s">
        <v>199</v>
      </c>
      <c r="B59" s="143" t="s">
        <v>200</v>
      </c>
      <c r="C59" s="143"/>
      <c r="D59" s="143"/>
      <c r="E59" s="1266"/>
      <c r="F59" s="1265"/>
      <c r="G59" s="143"/>
      <c r="H59" s="143"/>
      <c r="I59" s="143"/>
      <c r="J59" s="143"/>
      <c r="K59" s="143"/>
      <c r="L59" s="338"/>
      <c r="M59" s="749"/>
      <c r="N59" s="749"/>
      <c r="P59" s="102"/>
      <c r="Q59" s="745"/>
      <c r="R59" s="102"/>
      <c r="S59" s="750"/>
      <c r="T59" s="752" t="s">
        <v>414</v>
      </c>
      <c r="U59" s="311"/>
      <c r="V59" s="311"/>
      <c r="W59" s="311"/>
      <c r="X59" s="311"/>
      <c r="Y59" s="311"/>
      <c r="Z59" s="311"/>
      <c r="AA59" s="311"/>
      <c r="AB59" s="311"/>
      <c r="AC59" s="311"/>
      <c r="AD59" s="311"/>
      <c r="AE59" s="311"/>
      <c r="AF59" s="311"/>
      <c r="AG59" s="311"/>
      <c r="AH59" s="311"/>
      <c r="AI59" s="311"/>
      <c r="AJ59" s="311"/>
      <c r="AK59" s="311"/>
      <c r="AL59" s="311"/>
      <c r="AM59" s="311"/>
      <c r="AN59" s="311"/>
      <c r="AO59" s="311"/>
      <c r="AP59" s="311"/>
      <c r="AQ59" s="311"/>
      <c r="AR59" s="311"/>
      <c r="AS59" s="311"/>
      <c r="AT59" s="311"/>
      <c r="AU59" s="311"/>
      <c r="AW59" s="69"/>
      <c r="AX59" s="69" t="str">
        <f t="shared" si="3"/>
        <v>Добавить централизованную систему для дифференциации</v>
      </c>
      <c r="AY59" s="69"/>
      <c r="AZ59" s="69"/>
    </row>
    <row r="60" spans="1:52" s="68" customFormat="1" ht="0.75" customHeight="1">
      <c r="A60" s="143" t="s">
        <v>199</v>
      </c>
      <c r="B60" s="143"/>
      <c r="C60" s="143"/>
      <c r="D60" s="143"/>
      <c r="E60" s="1266"/>
      <c r="F60" s="143"/>
      <c r="G60" s="143"/>
      <c r="H60" s="143"/>
      <c r="I60" s="143"/>
      <c r="J60" s="143"/>
      <c r="K60" s="143"/>
      <c r="L60" s="338"/>
      <c r="M60" s="749"/>
      <c r="N60" s="749"/>
      <c r="P60" s="102"/>
      <c r="Q60" s="745"/>
      <c r="R60" s="102"/>
      <c r="S60" s="750"/>
      <c r="T60" s="752" t="s">
        <v>415</v>
      </c>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W60" s="69"/>
      <c r="AX60" s="69" t="str">
        <f t="shared" si="3"/>
        <v>Добавить территорию для дифференциации</v>
      </c>
      <c r="AY60" s="69"/>
      <c r="AZ60" s="69"/>
    </row>
    <row r="61" spans="1:52" s="68" customFormat="1" ht="0.75" customHeight="1">
      <c r="A61" s="143" t="s">
        <v>199</v>
      </c>
      <c r="B61" s="143"/>
      <c r="C61" s="143"/>
      <c r="D61" s="143"/>
      <c r="E61" s="1265"/>
      <c r="F61" s="143"/>
      <c r="G61" s="143"/>
      <c r="H61" s="143"/>
      <c r="I61" s="143"/>
      <c r="J61" s="143"/>
      <c r="K61" s="143"/>
      <c r="L61" s="338"/>
      <c r="M61" s="749"/>
      <c r="N61" s="749"/>
      <c r="P61" s="102"/>
      <c r="Q61" s="745"/>
      <c r="R61" s="102"/>
      <c r="S61" s="750"/>
      <c r="T61" s="752" t="s">
        <v>415</v>
      </c>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W61" s="69"/>
      <c r="AX61" s="69" t="str">
        <f t="shared" si="3"/>
        <v>Добавить территорию для дифференциации</v>
      </c>
      <c r="AY61" s="69"/>
      <c r="AZ61" s="69"/>
    </row>
    <row r="62" spans="1:52" s="68" customFormat="1" ht="0.75" customHeight="1">
      <c r="A62" s="143"/>
      <c r="B62" s="143"/>
      <c r="C62" s="143"/>
      <c r="D62" s="143"/>
      <c r="E62" s="143"/>
      <c r="F62" s="143"/>
      <c r="G62" s="143"/>
      <c r="H62" s="143"/>
      <c r="I62" s="143"/>
      <c r="J62" s="143"/>
      <c r="K62" s="143"/>
      <c r="L62" s="338"/>
      <c r="M62" s="749"/>
      <c r="N62" s="749"/>
      <c r="P62" s="102"/>
      <c r="Q62" s="745"/>
      <c r="R62" s="102"/>
      <c r="S62" s="750"/>
      <c r="T62" s="752" t="s">
        <v>447</v>
      </c>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W62" s="69"/>
      <c r="AX62" s="69" t="str">
        <f t="shared" si="3"/>
        <v>Добавить наименование тарифа</v>
      </c>
      <c r="AY62" s="69"/>
      <c r="AZ62" s="69"/>
    </row>
    <row r="63" spans="1:52" ht="11.25" customHeight="1">
      <c r="M63" s="63"/>
      <c r="N63" s="63"/>
      <c r="O63" s="63"/>
      <c r="P63" s="63"/>
      <c r="Q63" s="63"/>
      <c r="R63" s="12"/>
      <c r="S63" s="12"/>
      <c r="AV63" s="12"/>
      <c r="AW63" s="12"/>
      <c r="AX63" s="12"/>
      <c r="AY63" s="12"/>
      <c r="AZ63" s="12"/>
    </row>
    <row r="64" spans="1:52" ht="18.75" customHeight="1">
      <c r="O64" s="63"/>
      <c r="S64" s="196"/>
      <c r="T64" s="1285"/>
      <c r="U64" s="1285"/>
      <c r="V64" s="1285"/>
      <c r="W64" s="1285"/>
      <c r="X64" s="1285"/>
      <c r="Y64" s="1285"/>
      <c r="Z64" s="1285"/>
      <c r="AA64" s="1285"/>
      <c r="AB64" s="1285"/>
      <c r="AC64" s="1285"/>
      <c r="AD64" s="1285"/>
      <c r="AE64" s="1285"/>
      <c r="AF64" s="1285"/>
      <c r="AG64" s="1285"/>
      <c r="AH64" s="1285"/>
      <c r="AI64" s="1285"/>
      <c r="AJ64" s="1285"/>
      <c r="AK64" s="1285"/>
      <c r="AL64" s="1285"/>
      <c r="AM64" s="1285"/>
      <c r="AN64" s="1285"/>
      <c r="AO64" s="1285"/>
      <c r="AP64" s="1285"/>
      <c r="AQ64" s="1285"/>
      <c r="AR64" s="1285"/>
      <c r="AS64" s="1285"/>
      <c r="AT64" s="1285"/>
      <c r="AU64" s="1285"/>
    </row>
    <row r="65" spans="15:47" ht="19.5" customHeight="1">
      <c r="O65" s="63"/>
      <c r="T65" s="1285"/>
      <c r="U65" s="1285"/>
      <c r="V65" s="1285"/>
      <c r="W65" s="1285"/>
      <c r="X65" s="1285"/>
      <c r="Y65" s="1285"/>
      <c r="Z65" s="1285"/>
      <c r="AA65" s="1285"/>
      <c r="AB65" s="1285"/>
      <c r="AC65" s="1285"/>
      <c r="AD65" s="1285"/>
      <c r="AE65" s="1285"/>
      <c r="AF65" s="1285"/>
      <c r="AG65" s="1285"/>
      <c r="AH65" s="1285"/>
      <c r="AI65" s="1285"/>
      <c r="AJ65" s="1285"/>
      <c r="AK65" s="1285"/>
      <c r="AL65" s="1285"/>
      <c r="AM65" s="1285"/>
      <c r="AN65" s="1285"/>
      <c r="AO65" s="1285"/>
      <c r="AP65" s="1285"/>
      <c r="AQ65" s="1285"/>
      <c r="AR65" s="1285"/>
      <c r="AS65" s="1285"/>
      <c r="AT65" s="1285"/>
      <c r="AU65" s="1285"/>
    </row>
    <row r="66" spans="15:47" ht="14.25" customHeight="1">
      <c r="O66" s="63"/>
      <c r="T66" s="364"/>
      <c r="U66" s="364"/>
      <c r="V66" s="364"/>
      <c r="W66" s="364"/>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row>
    <row r="67" spans="15:47" ht="18.75" customHeight="1">
      <c r="O67" s="63"/>
      <c r="T67" s="1285"/>
      <c r="U67" s="1285"/>
      <c r="V67" s="1285"/>
      <c r="W67" s="1285"/>
      <c r="X67" s="1285"/>
      <c r="Y67" s="1285"/>
      <c r="Z67" s="1285"/>
      <c r="AA67" s="1285"/>
      <c r="AB67" s="1285"/>
      <c r="AC67" s="1285"/>
      <c r="AD67" s="1285"/>
      <c r="AE67" s="1285"/>
      <c r="AF67" s="1285"/>
      <c r="AG67" s="1285"/>
      <c r="AH67" s="1285"/>
      <c r="AI67" s="1285"/>
      <c r="AJ67" s="1285"/>
      <c r="AK67" s="1285"/>
      <c r="AL67" s="1285"/>
      <c r="AM67" s="1285"/>
      <c r="AN67" s="1285"/>
      <c r="AO67" s="1285"/>
      <c r="AP67" s="1285"/>
      <c r="AQ67" s="1285"/>
      <c r="AR67" s="1285"/>
      <c r="AS67" s="1285"/>
      <c r="AT67" s="1285"/>
      <c r="AU67" s="1285"/>
    </row>
    <row r="68" spans="15:47" ht="15.75" customHeight="1">
      <c r="O68" s="63"/>
      <c r="T68" s="1285"/>
      <c r="U68" s="1285"/>
      <c r="V68" s="1285"/>
      <c r="W68" s="1285"/>
      <c r="X68" s="1285"/>
      <c r="Y68" s="1285"/>
      <c r="Z68" s="1285"/>
      <c r="AA68" s="1285"/>
      <c r="AB68" s="1285"/>
      <c r="AC68" s="1285"/>
      <c r="AD68" s="1285"/>
      <c r="AE68" s="1285"/>
      <c r="AF68" s="1285"/>
      <c r="AG68" s="1285"/>
      <c r="AH68" s="1285"/>
      <c r="AI68" s="1285"/>
      <c r="AJ68" s="1285"/>
      <c r="AK68" s="1285"/>
      <c r="AL68" s="1285"/>
      <c r="AM68" s="1285"/>
      <c r="AN68" s="1285"/>
      <c r="AO68" s="1285"/>
      <c r="AP68" s="1285"/>
      <c r="AQ68" s="1285"/>
      <c r="AR68" s="1285"/>
      <c r="AS68" s="1285"/>
      <c r="AT68" s="1285"/>
      <c r="AU68" s="1285"/>
    </row>
    <row r="69" spans="15:47" ht="14.25" customHeight="1">
      <c r="O69" s="63"/>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V42:W42" xr:uid="{00000000-0002-0000-13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60C07-D116-0278-B3B1-E9817494834E}">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299" hidden="1" customWidth="1"/>
    <col min="13" max="14" width="12.28515625" style="497" hidden="1" customWidth="1"/>
    <col min="15" max="15" width="23.42578125" style="497" hidden="1" customWidth="1"/>
    <col min="16" max="16" width="3.7109375" style="34" customWidth="1"/>
    <col min="17" max="18" width="3.7109375" style="30" customWidth="1"/>
    <col min="19" max="19" width="12.7109375" style="334" customWidth="1"/>
    <col min="20" max="20" width="35.7109375" style="12" customWidth="1"/>
    <col min="21" max="21" width="0.140625" style="12" customWidth="1"/>
    <col min="22" max="24" width="24.7109375" style="12" hidden="1" customWidth="1"/>
    <col min="25" max="25" width="11.7109375" style="12" hidden="1" customWidth="1"/>
    <col min="26" max="26" width="3.7109375" style="12" hidden="1" customWidth="1"/>
    <col min="27" max="27" width="11.7109375" style="12" hidden="1" customWidth="1"/>
    <col min="28" max="28" width="8.5703125" style="12" hidden="1" customWidth="1"/>
    <col min="29" max="31" width="24.7109375" style="12" customWidth="1"/>
    <col min="32" max="32" width="11.7109375" style="12" customWidth="1"/>
    <col min="33" max="33" width="3.7109375" style="12" customWidth="1"/>
    <col min="34" max="34" width="11.7109375" style="12" customWidth="1"/>
    <col min="35" max="35" width="8.5703125" style="12" hidden="1" customWidth="1"/>
    <col min="36" max="36" width="4.7109375" style="12" customWidth="1"/>
    <col min="37" max="37" width="115.7109375" style="12" customWidth="1"/>
    <col min="38" max="39" width="10.5703125" style="68"/>
    <col min="40" max="40" width="11.140625" style="68" customWidth="1"/>
    <col min="41" max="42" width="10.5703125" style="68"/>
  </cols>
  <sheetData>
    <row r="1" spans="1:42" ht="14.25" hidden="1" customHeight="1"/>
    <row r="2" spans="1:42" ht="23.25" hidden="1" customHeight="1">
      <c r="A2" s="759"/>
      <c r="B2" s="759"/>
      <c r="C2" s="759"/>
      <c r="D2" s="759"/>
      <c r="E2" s="1265">
        <v>1</v>
      </c>
      <c r="F2" s="759"/>
      <c r="G2" s="759"/>
      <c r="H2" s="759"/>
      <c r="I2" s="759"/>
      <c r="J2" s="759"/>
      <c r="K2" s="759"/>
      <c r="L2" s="760"/>
      <c r="M2" s="417"/>
      <c r="N2" s="417"/>
      <c r="O2" s="417"/>
      <c r="Q2" s="35"/>
      <c r="R2" s="205"/>
      <c r="S2" s="698" t="e">
        <f>INDEX(PT_DIFFERENTIATION_NUM_NTAR,MATCH(A2,PT_DIFFERENTIATION_NTAR_ID,0))</f>
        <v>#N/A</v>
      </c>
      <c r="T2" s="67" t="s">
        <v>124</v>
      </c>
      <c r="U2" s="169"/>
      <c r="V2" s="1251"/>
      <c r="W2" s="1252"/>
      <c r="X2" s="1252"/>
      <c r="Y2" s="1252"/>
      <c r="Z2" s="1252"/>
      <c r="AA2" s="1252"/>
      <c r="AB2" s="1253"/>
      <c r="AC2" s="1251" t="e">
        <f>INDEX(PT_DIFFERENTIATION_NTAR,MATCH(A2,PT_DIFFERENTIATION_NTAR_ID,0))</f>
        <v>#N/A</v>
      </c>
      <c r="AD2" s="1252"/>
      <c r="AE2" s="1252"/>
      <c r="AF2" s="1252"/>
      <c r="AG2" s="1252"/>
      <c r="AH2" s="1252"/>
      <c r="AI2" s="1252"/>
      <c r="AJ2" s="1253"/>
      <c r="AK2"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row>
    <row r="3" spans="1:42" ht="23.25" hidden="1" customHeight="1">
      <c r="A3" s="759"/>
      <c r="B3" s="759"/>
      <c r="C3" s="759"/>
      <c r="D3" s="759"/>
      <c r="E3" s="1266"/>
      <c r="F3" s="1265">
        <v>1</v>
      </c>
      <c r="G3" s="759"/>
      <c r="H3" s="759"/>
      <c r="I3" s="759"/>
      <c r="J3" s="759"/>
      <c r="K3" s="759"/>
      <c r="L3" s="760"/>
      <c r="M3" s="417"/>
      <c r="N3" s="417"/>
      <c r="O3" s="417"/>
      <c r="P3" s="59"/>
      <c r="Q3" s="202"/>
      <c r="R3" s="203"/>
      <c r="S3" s="698" t="e">
        <f>INDEX(PT_DIFFERENTIATION_NUM_TER,MATCH(B3,PT_DIFFERENTIATION_TER_ID,0))</f>
        <v>#N/A</v>
      </c>
      <c r="T3" s="175" t="s">
        <v>396</v>
      </c>
      <c r="U3" s="169"/>
      <c r="V3" s="1251"/>
      <c r="W3" s="1252"/>
      <c r="X3" s="1252"/>
      <c r="Y3" s="1252"/>
      <c r="Z3" s="1252"/>
      <c r="AA3" s="1252"/>
      <c r="AB3" s="1253"/>
      <c r="AC3" s="1251" t="e">
        <f>INDEX(PT_DIFFERENTIATION_TER,MATCH(B3,PT_DIFFERENTIATION_TER_ID,0))</f>
        <v>#N/A</v>
      </c>
      <c r="AD3" s="1252"/>
      <c r="AE3" s="1252"/>
      <c r="AF3" s="1252"/>
      <c r="AG3" s="1252"/>
      <c r="AH3" s="1252"/>
      <c r="AI3" s="1252"/>
      <c r="AJ3" s="1253"/>
      <c r="AK3" s="718" t="s">
        <v>397</v>
      </c>
      <c r="AM3" s="69"/>
      <c r="AN3" s="69" t="str">
        <f t="shared" si="0"/>
        <v>Территория действия тарифа</v>
      </c>
      <c r="AO3" s="69"/>
      <c r="AP3" s="69"/>
    </row>
    <row r="4" spans="1:42" ht="23.25" hidden="1" customHeight="1">
      <c r="A4" s="759"/>
      <c r="B4" s="759"/>
      <c r="C4" s="759"/>
      <c r="D4" s="759"/>
      <c r="E4" s="1266"/>
      <c r="F4" s="1266"/>
      <c r="G4" s="1265">
        <v>1</v>
      </c>
      <c r="H4" s="759"/>
      <c r="I4" s="759"/>
      <c r="J4" s="759"/>
      <c r="K4" s="759"/>
      <c r="L4" s="760"/>
      <c r="M4" s="417"/>
      <c r="N4" s="417"/>
      <c r="O4" s="417"/>
      <c r="P4" s="204"/>
      <c r="Q4" s="202"/>
      <c r="R4" s="203"/>
      <c r="S4" s="698" t="e">
        <f>INDEX(PT_DIFFERENTIATION_NUM_CS,MATCH(C4,PT_DIFFERENTIATION_CS_ID,0))</f>
        <v>#N/A</v>
      </c>
      <c r="T4" s="176" t="s">
        <v>480</v>
      </c>
      <c r="U4" s="169"/>
      <c r="V4" s="1251"/>
      <c r="W4" s="1252"/>
      <c r="X4" s="1252"/>
      <c r="Y4" s="1252"/>
      <c r="Z4" s="1252"/>
      <c r="AA4" s="1252"/>
      <c r="AB4" s="1253"/>
      <c r="AC4" s="1251" t="e">
        <f>INDEX(PT_DIFFERENTIATION_CS,MATCH(C4,PT_DIFFERENTIATION_CS_ID,0))</f>
        <v>#N/A</v>
      </c>
      <c r="AD4" s="1252"/>
      <c r="AE4" s="1252"/>
      <c r="AF4" s="1252"/>
      <c r="AG4" s="1252"/>
      <c r="AH4" s="1252"/>
      <c r="AI4" s="1252"/>
      <c r="AJ4" s="1253"/>
      <c r="AK4" s="718" t="s">
        <v>481</v>
      </c>
      <c r="AM4" s="69"/>
      <c r="AN4" s="69" t="str">
        <f t="shared" si="0"/>
        <v>Наименование централизованной системы холодного водоснабжения</v>
      </c>
      <c r="AO4" s="69"/>
      <c r="AP4" s="69"/>
    </row>
    <row r="5" spans="1:42" ht="23.25" hidden="1" customHeight="1">
      <c r="A5" s="759"/>
      <c r="B5" s="759"/>
      <c r="C5" s="759"/>
      <c r="D5" s="759"/>
      <c r="E5" s="1266"/>
      <c r="F5" s="1266"/>
      <c r="G5" s="1266"/>
      <c r="H5" s="1266"/>
      <c r="I5" s="1263" t="e">
        <f>S4&amp;".1"</f>
        <v>#N/A</v>
      </c>
      <c r="J5" s="759"/>
      <c r="K5" s="759"/>
      <c r="L5" s="760"/>
      <c r="P5" s="1264">
        <v>1</v>
      </c>
      <c r="Q5" s="120"/>
      <c r="R5" s="206"/>
      <c r="S5" s="698" t="e">
        <f>$I5</f>
        <v>#N/A</v>
      </c>
      <c r="T5" s="162" t="s">
        <v>482</v>
      </c>
      <c r="U5" s="169"/>
      <c r="V5" s="1331"/>
      <c r="W5" s="1332"/>
      <c r="X5" s="1332"/>
      <c r="Y5" s="1332"/>
      <c r="Z5" s="1332"/>
      <c r="AA5" s="1332"/>
      <c r="AB5" s="1333"/>
      <c r="AC5" s="1334"/>
      <c r="AD5" s="1335"/>
      <c r="AE5" s="1335"/>
      <c r="AF5" s="1335"/>
      <c r="AG5" s="1335"/>
      <c r="AH5" s="1335"/>
      <c r="AI5" s="1335"/>
      <c r="AJ5" s="1336"/>
      <c r="AK5" s="718" t="s">
        <v>483</v>
      </c>
      <c r="AM5" s="69"/>
      <c r="AN5" s="69" t="str">
        <f t="shared" si="0"/>
        <v>Наименование признака дифференциации</v>
      </c>
      <c r="AO5" s="69"/>
      <c r="AP5" s="69"/>
    </row>
    <row r="6" spans="1:42" ht="23.25" hidden="1" customHeight="1">
      <c r="A6" s="759"/>
      <c r="B6" s="759"/>
      <c r="C6" s="759"/>
      <c r="D6" s="759"/>
      <c r="E6" s="1266"/>
      <c r="F6" s="1266"/>
      <c r="G6" s="1266"/>
      <c r="H6" s="1266"/>
      <c r="I6" s="1286"/>
      <c r="J6" s="1263" t="e">
        <f>I5&amp;".1"</f>
        <v>#N/A</v>
      </c>
      <c r="K6" s="759"/>
      <c r="L6" s="760" t="s">
        <v>405</v>
      </c>
      <c r="P6" s="1264"/>
      <c r="Q6" s="1264">
        <v>1</v>
      </c>
      <c r="R6" s="207"/>
      <c r="S6" s="698" t="e">
        <f>$J6</f>
        <v>#N/A</v>
      </c>
      <c r="T6" s="163" t="s">
        <v>406</v>
      </c>
      <c r="U6" s="169"/>
      <c r="V6" s="1254"/>
      <c r="W6" s="1255"/>
      <c r="X6" s="1255"/>
      <c r="Y6" s="1255"/>
      <c r="Z6" s="1255"/>
      <c r="AA6" s="1255"/>
      <c r="AB6" s="1256"/>
      <c r="AC6" s="1254"/>
      <c r="AD6" s="1255"/>
      <c r="AE6" s="1255"/>
      <c r="AF6" s="1255"/>
      <c r="AG6" s="1255"/>
      <c r="AH6" s="1255"/>
      <c r="AI6" s="1255"/>
      <c r="AJ6" s="1256"/>
      <c r="AK6" s="743" t="s">
        <v>484</v>
      </c>
      <c r="AM6" s="69"/>
      <c r="AN6" s="69" t="str">
        <f t="shared" si="0"/>
        <v>Группа потребителей</v>
      </c>
      <c r="AO6" s="69"/>
      <c r="AP6" s="69"/>
    </row>
    <row r="7" spans="1:42" ht="23.25" hidden="1" customHeight="1">
      <c r="A7" s="759"/>
      <c r="B7" s="759"/>
      <c r="C7" s="759"/>
      <c r="D7" s="759"/>
      <c r="E7" s="1266"/>
      <c r="F7" s="1266"/>
      <c r="G7" s="1266"/>
      <c r="H7" s="1266"/>
      <c r="I7" s="1286"/>
      <c r="J7" s="1286"/>
      <c r="K7" s="1263" t="e">
        <f>J6&amp;".1"</f>
        <v>#N/A</v>
      </c>
      <c r="L7" s="760"/>
      <c r="P7" s="1264"/>
      <c r="Q7" s="1264"/>
      <c r="R7" s="207">
        <v>1</v>
      </c>
      <c r="S7" s="698" t="e">
        <f>$K7</f>
        <v>#N/A</v>
      </c>
      <c r="T7" s="802"/>
      <c r="U7" s="169"/>
      <c r="V7" s="304"/>
      <c r="W7" s="304"/>
      <c r="X7" s="717"/>
      <c r="Y7" s="1268"/>
      <c r="Z7" s="1127" t="s">
        <v>62</v>
      </c>
      <c r="AA7" s="1268"/>
      <c r="AB7" s="1127" t="s">
        <v>62</v>
      </c>
      <c r="AC7" s="304"/>
      <c r="AD7" s="304"/>
      <c r="AE7" s="717"/>
      <c r="AF7" s="1268"/>
      <c r="AG7" s="1127" t="s">
        <v>62</v>
      </c>
      <c r="AH7" s="1287"/>
      <c r="AI7" s="1127" t="s">
        <v>62</v>
      </c>
      <c r="AJ7" s="803"/>
      <c r="AK7" s="1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row>
    <row r="8" spans="1:42" ht="14.25" hidden="1" customHeight="1">
      <c r="A8" s="759"/>
      <c r="B8" s="759"/>
      <c r="C8" s="759"/>
      <c r="D8" s="759"/>
      <c r="E8" s="1266"/>
      <c r="F8" s="1266"/>
      <c r="G8" s="1266"/>
      <c r="H8" s="1266"/>
      <c r="I8" s="1286"/>
      <c r="J8" s="1286"/>
      <c r="K8" s="1263"/>
      <c r="L8" s="760"/>
      <c r="P8" s="1264"/>
      <c r="Q8" s="1264"/>
      <c r="R8" s="207"/>
      <c r="S8" s="65"/>
      <c r="T8" s="169"/>
      <c r="U8" s="169"/>
      <c r="V8" s="189"/>
      <c r="W8" s="189"/>
      <c r="X8" s="190" t="str">
        <f>Y7&amp;"-"&amp;AA7</f>
        <v>-</v>
      </c>
      <c r="Y8" s="1269"/>
      <c r="Z8" s="1127"/>
      <c r="AA8" s="1269"/>
      <c r="AB8" s="1127"/>
      <c r="AC8" s="189"/>
      <c r="AD8" s="189"/>
      <c r="AE8" s="190" t="str">
        <f>AF7&amp;"-"&amp;AH7</f>
        <v>-</v>
      </c>
      <c r="AF8" s="1269"/>
      <c r="AG8" s="1127"/>
      <c r="AH8" s="1288"/>
      <c r="AI8" s="1127"/>
      <c r="AJ8" s="379"/>
      <c r="AK8" s="1330"/>
      <c r="AM8" s="69"/>
      <c r="AN8" s="69" t="str">
        <f t="shared" si="0"/>
        <v/>
      </c>
      <c r="AO8" s="69"/>
      <c r="AP8" s="69"/>
    </row>
    <row r="9" spans="1:42" ht="21" hidden="1" customHeight="1">
      <c r="A9" s="759"/>
      <c r="B9" s="759"/>
      <c r="C9" s="759"/>
      <c r="D9" s="759"/>
      <c r="E9" s="1266"/>
      <c r="F9" s="1266"/>
      <c r="G9" s="1266"/>
      <c r="H9" s="1266"/>
      <c r="I9" s="1286"/>
      <c r="J9" s="1263"/>
      <c r="K9" s="759"/>
      <c r="L9" s="760"/>
      <c r="P9" s="1264"/>
      <c r="Q9" s="1264"/>
      <c r="R9" s="206"/>
      <c r="S9" s="732"/>
      <c r="T9" s="164" t="s">
        <v>485</v>
      </c>
      <c r="U9" s="211"/>
      <c r="V9" s="211"/>
      <c r="W9" s="211"/>
      <c r="X9" s="211"/>
      <c r="Y9" s="211"/>
      <c r="Z9" s="211"/>
      <c r="AA9" s="211"/>
      <c r="AB9" s="211"/>
      <c r="AC9" s="211"/>
      <c r="AD9" s="211"/>
      <c r="AE9" s="211"/>
      <c r="AF9" s="211"/>
      <c r="AG9" s="211"/>
      <c r="AH9" s="211"/>
      <c r="AI9" s="211"/>
      <c r="AJ9" s="211"/>
      <c r="AK9" s="718" t="s">
        <v>486</v>
      </c>
      <c r="AM9" s="69"/>
      <c r="AN9" s="69" t="str">
        <f t="shared" si="0"/>
        <v>Добавить значение признака дифференциации</v>
      </c>
      <c r="AO9" s="69"/>
      <c r="AP9" s="69"/>
    </row>
    <row r="10" spans="1:42" ht="21" hidden="1" customHeight="1">
      <c r="A10" s="759"/>
      <c r="B10" s="759"/>
      <c r="C10" s="759"/>
      <c r="D10" s="759"/>
      <c r="E10" s="1266"/>
      <c r="F10" s="1266"/>
      <c r="G10" s="1266"/>
      <c r="H10" s="1266"/>
      <c r="I10" s="1263"/>
      <c r="J10" s="759"/>
      <c r="K10" s="759"/>
      <c r="L10" s="760"/>
      <c r="P10" s="1264"/>
      <c r="Q10" s="120"/>
      <c r="R10" s="206"/>
      <c r="S10" s="732"/>
      <c r="T10" s="209" t="s">
        <v>411</v>
      </c>
      <c r="U10" s="211"/>
      <c r="V10" s="211"/>
      <c r="W10" s="211"/>
      <c r="X10" s="211"/>
      <c r="Y10" s="211"/>
      <c r="Z10" s="211"/>
      <c r="AA10" s="211"/>
      <c r="AB10" s="210"/>
      <c r="AC10" s="211"/>
      <c r="AD10" s="211"/>
      <c r="AE10" s="211"/>
      <c r="AF10" s="211"/>
      <c r="AG10" s="211"/>
      <c r="AH10" s="211"/>
      <c r="AI10" s="210"/>
      <c r="AJ10" s="211"/>
      <c r="AK10" s="804"/>
      <c r="AM10" s="69"/>
      <c r="AN10" s="69" t="str">
        <f t="shared" si="0"/>
        <v>Добавить группу потребителей</v>
      </c>
      <c r="AO10" s="69"/>
      <c r="AP10" s="69"/>
    </row>
    <row r="11" spans="1:42" ht="14.25" hidden="1" customHeight="1">
      <c r="A11" s="759"/>
      <c r="B11" s="759"/>
      <c r="C11" s="759"/>
      <c r="D11" s="759"/>
      <c r="E11" s="1266"/>
      <c r="F11" s="1266"/>
      <c r="G11" s="1266"/>
      <c r="H11" s="1265"/>
      <c r="I11" s="759"/>
      <c r="J11" s="759"/>
      <c r="K11" s="759"/>
      <c r="L11" s="760"/>
      <c r="M11" s="417"/>
      <c r="N11" s="417"/>
      <c r="O11" s="63"/>
      <c r="P11" s="35"/>
      <c r="Q11" s="214"/>
      <c r="R11" s="205"/>
      <c r="S11" s="732"/>
      <c r="T11" s="105" t="s">
        <v>487</v>
      </c>
      <c r="U11" s="211"/>
      <c r="V11" s="211"/>
      <c r="W11" s="211"/>
      <c r="X11" s="211"/>
      <c r="Y11" s="211"/>
      <c r="Z11" s="211"/>
      <c r="AA11" s="211"/>
      <c r="AB11" s="210"/>
      <c r="AC11" s="211"/>
      <c r="AD11" s="211"/>
      <c r="AE11" s="211"/>
      <c r="AF11" s="211"/>
      <c r="AG11" s="211"/>
      <c r="AH11" s="211"/>
      <c r="AI11" s="210"/>
      <c r="AJ11" s="211"/>
      <c r="AK11" s="172"/>
      <c r="AM11" s="69"/>
      <c r="AN11" s="69" t="str">
        <f t="shared" si="0"/>
        <v>Добавить наименование признака дифференциации</v>
      </c>
      <c r="AO11" s="69"/>
      <c r="AP11" s="69"/>
    </row>
    <row r="12" spans="1:42" s="68" customFormat="1" ht="14.25" hidden="1" customHeight="1">
      <c r="A12" s="143"/>
      <c r="B12" s="143"/>
      <c r="C12" s="143"/>
      <c r="D12" s="143"/>
      <c r="E12" s="1266"/>
      <c r="F12" s="1265"/>
      <c r="G12" s="143"/>
      <c r="H12" s="143"/>
      <c r="I12" s="143"/>
      <c r="J12" s="143"/>
      <c r="K12" s="143"/>
      <c r="L12" s="338"/>
      <c r="M12" s="749"/>
      <c r="N12" s="749"/>
      <c r="P12" s="102"/>
      <c r="Q12" s="745"/>
      <c r="R12" s="102"/>
      <c r="S12" s="750"/>
      <c r="T12" s="752" t="s">
        <v>414</v>
      </c>
      <c r="U12" s="311"/>
      <c r="V12" s="311"/>
      <c r="W12" s="311"/>
      <c r="X12" s="311"/>
      <c r="Y12" s="311"/>
      <c r="Z12" s="311"/>
      <c r="AA12" s="311"/>
      <c r="AB12" s="311"/>
      <c r="AC12" s="311"/>
      <c r="AD12" s="311"/>
      <c r="AE12" s="311"/>
      <c r="AF12" s="311"/>
      <c r="AG12" s="311"/>
      <c r="AH12" s="311"/>
      <c r="AI12" s="311"/>
      <c r="AJ12" s="311"/>
      <c r="AK12" s="311"/>
      <c r="AM12" s="69"/>
      <c r="AN12" s="69" t="str">
        <f t="shared" si="0"/>
        <v>Добавить централизованную систему для дифференциации</v>
      </c>
      <c r="AO12" s="69"/>
      <c r="AP12" s="69"/>
    </row>
    <row r="13" spans="1:42" s="68" customFormat="1" ht="14.25" hidden="1" customHeight="1">
      <c r="A13" s="143"/>
      <c r="B13" s="143"/>
      <c r="C13" s="143"/>
      <c r="D13" s="143"/>
      <c r="E13" s="1265"/>
      <c r="F13" s="143"/>
      <c r="G13" s="143"/>
      <c r="H13" s="143"/>
      <c r="I13" s="143"/>
      <c r="J13" s="143"/>
      <c r="K13" s="143"/>
      <c r="L13" s="338"/>
      <c r="M13" s="749"/>
      <c r="N13" s="749"/>
      <c r="P13" s="102"/>
      <c r="Q13" s="745"/>
      <c r="R13" s="102"/>
      <c r="S13" s="750"/>
      <c r="T13" s="752" t="s">
        <v>415</v>
      </c>
      <c r="U13" s="311"/>
      <c r="V13" s="311"/>
      <c r="W13" s="311"/>
      <c r="X13" s="311"/>
      <c r="Y13" s="311"/>
      <c r="Z13" s="311"/>
      <c r="AA13" s="311"/>
      <c r="AB13" s="311"/>
      <c r="AC13" s="311"/>
      <c r="AD13" s="311"/>
      <c r="AE13" s="311"/>
      <c r="AF13" s="311"/>
      <c r="AG13" s="311"/>
      <c r="AH13" s="311"/>
      <c r="AI13" s="311"/>
      <c r="AJ13" s="311"/>
      <c r="AK13" s="311"/>
      <c r="AM13" s="69"/>
      <c r="AN13" s="69" t="str">
        <f t="shared" si="0"/>
        <v>Добавить территорию для дифференциации</v>
      </c>
      <c r="AO13" s="69"/>
      <c r="AP13" s="69"/>
    </row>
    <row r="14" spans="1:42" ht="14.25" hidden="1" customHeight="1"/>
    <row r="15" spans="1:42" ht="14.25" hidden="1" customHeight="1">
      <c r="AC15" s="359"/>
      <c r="AD15" s="359"/>
      <c r="AE15" s="758"/>
      <c r="AF15" s="1270"/>
      <c r="AG15" s="1271" t="s">
        <v>62</v>
      </c>
      <c r="AH15" s="1270"/>
      <c r="AI15" s="1271" t="s">
        <v>62</v>
      </c>
    </row>
    <row r="16" spans="1:42" ht="14.25" hidden="1" customHeight="1">
      <c r="AC16" s="359"/>
      <c r="AD16" s="359"/>
      <c r="AE16" s="190" t="str">
        <f>AF15&amp;"-"&amp;AH15</f>
        <v>-</v>
      </c>
      <c r="AF16" s="1271"/>
      <c r="AG16" s="1271"/>
      <c r="AH16" s="1271"/>
      <c r="AI16" s="1271"/>
    </row>
    <row r="17" spans="1:42" ht="14.25" hidden="1" customHeight="1"/>
    <row r="18" spans="1:42" s="63" customFormat="1" ht="22.5" hidden="1" customHeight="1">
      <c r="L18" s="299"/>
      <c r="M18" s="497"/>
      <c r="N18" s="497"/>
      <c r="O18" s="761" t="s">
        <v>416</v>
      </c>
      <c r="P18" s="497"/>
      <c r="Q18" s="762"/>
      <c r="R18" s="762"/>
      <c r="S18" s="417"/>
      <c r="Y18" s="761"/>
      <c r="AA18" s="761"/>
      <c r="AF18" s="761"/>
      <c r="AH18" s="761"/>
      <c r="AL18" s="68"/>
      <c r="AM18" s="68"/>
      <c r="AN18" s="68"/>
      <c r="AO18" s="68"/>
      <c r="AP18" s="68"/>
    </row>
    <row r="19" spans="1:42" s="63" customFormat="1" ht="14.25" hidden="1" customHeight="1">
      <c r="L19" s="299"/>
      <c r="M19" s="497"/>
      <c r="N19" s="497"/>
      <c r="O19" s="497"/>
      <c r="P19" s="497"/>
      <c r="Q19" s="762"/>
      <c r="R19" s="762"/>
      <c r="S19" s="417"/>
      <c r="AL19" s="68"/>
      <c r="AM19" s="68"/>
      <c r="AN19" s="68"/>
      <c r="AO19" s="68"/>
      <c r="AP19" s="68"/>
    </row>
    <row r="20" spans="1:42" s="63" customFormat="1" ht="12" hidden="1" customHeight="1">
      <c r="L20" s="299"/>
      <c r="M20" s="497"/>
      <c r="N20" s="497"/>
      <c r="O20" s="760" t="s">
        <v>417</v>
      </c>
      <c r="P20" s="497"/>
      <c r="Q20" s="805"/>
      <c r="R20" s="805"/>
      <c r="S20" s="417"/>
      <c r="T20" s="63" t="s">
        <v>418</v>
      </c>
      <c r="Z20" s="81" t="s">
        <v>419</v>
      </c>
      <c r="AB20" s="81" t="s">
        <v>420</v>
      </c>
      <c r="AC20" s="63" t="s">
        <v>418</v>
      </c>
      <c r="AG20" s="81" t="s">
        <v>421</v>
      </c>
      <c r="AI20" s="81" t="s">
        <v>420</v>
      </c>
    </row>
    <row r="21" spans="1:42" ht="14.25" hidden="1" customHeight="1">
      <c r="O21" s="760"/>
    </row>
    <row r="22" spans="1:42" ht="14.25" hidden="1" customHeight="1">
      <c r="O22" s="760"/>
    </row>
    <row r="23" spans="1:42" ht="14.25" customHeight="1">
      <c r="Q23" s="29"/>
      <c r="R23" s="29"/>
      <c r="S23" s="729"/>
      <c r="T23" s="11"/>
      <c r="U23" s="11"/>
    </row>
    <row r="24" spans="1:42" ht="14.25" customHeight="1">
      <c r="Q24" s="29"/>
      <c r="R24" s="29"/>
      <c r="S24" s="1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49"/>
      <c r="U24" s="1249"/>
      <c r="V24" s="1249"/>
      <c r="W24" s="1249"/>
      <c r="X24" s="1249"/>
      <c r="Y24" s="1249"/>
      <c r="Z24" s="1249"/>
      <c r="AA24" s="1249"/>
      <c r="AB24" s="1249"/>
      <c r="AC24" s="1249"/>
      <c r="AD24" s="1249"/>
      <c r="AE24" s="1249"/>
      <c r="AF24" s="1249"/>
      <c r="AG24" s="1249"/>
      <c r="AH24" s="1249"/>
      <c r="AI24" s="60"/>
    </row>
    <row r="25" spans="1:42" ht="14.25" customHeight="1">
      <c r="Q25" s="29"/>
      <c r="R25" s="29"/>
      <c r="S25" s="1194" t="str">
        <f>IF(org=0,"Не определено",org)</f>
        <v>АО "ХТК"</v>
      </c>
      <c r="T25" s="1194"/>
      <c r="U25" s="1194"/>
      <c r="V25" s="1194"/>
      <c r="W25" s="1194"/>
      <c r="X25" s="1194"/>
      <c r="Y25" s="1194"/>
      <c r="Z25" s="1194"/>
      <c r="AA25" s="1194"/>
      <c r="AB25" s="1194"/>
      <c r="AC25" s="1194"/>
      <c r="AD25" s="1194"/>
      <c r="AE25" s="1194"/>
      <c r="AF25" s="1194"/>
      <c r="AG25" s="1194"/>
      <c r="AH25" s="1194"/>
      <c r="AI25" s="60"/>
    </row>
    <row r="26" spans="1:42" ht="14.25" hidden="1" customHeight="1">
      <c r="Q26" s="29"/>
      <c r="R26" s="29"/>
      <c r="S26" s="729"/>
      <c r="T26" s="11"/>
      <c r="U26" s="11"/>
      <c r="V26" s="187"/>
      <c r="W26" s="187"/>
      <c r="X26" s="187"/>
      <c r="Y26" s="187"/>
      <c r="Z26" s="187"/>
      <c r="AA26" s="187"/>
      <c r="AB26" s="187"/>
      <c r="AC26" s="187"/>
      <c r="AD26" s="187"/>
      <c r="AE26" s="187"/>
      <c r="AF26" s="187"/>
      <c r="AG26" s="187"/>
      <c r="AH26" s="187"/>
      <c r="AI26" s="187"/>
    </row>
    <row r="27" spans="1:42" s="36" customFormat="1" ht="25.5" hidden="1" customHeight="1">
      <c r="A27" s="81"/>
      <c r="B27" s="81"/>
      <c r="C27" s="81"/>
      <c r="D27" s="81"/>
      <c r="E27" s="81"/>
      <c r="F27" s="81"/>
      <c r="G27" s="81"/>
      <c r="H27" s="81"/>
      <c r="I27" s="81"/>
      <c r="J27" s="81"/>
      <c r="K27" s="81"/>
      <c r="L27" s="760"/>
      <c r="M27" s="81"/>
      <c r="N27" s="81"/>
      <c r="O27" s="81"/>
      <c r="S27" s="1257" t="s">
        <v>37</v>
      </c>
      <c r="T27" s="1257"/>
      <c r="U27" s="763"/>
      <c r="V27" s="1258" t="str">
        <f>IF(TITLE_NAME_OR_PR_CHANGE="",IF(TITLE_NAME_OR_PR="","",TITLE_NAME_OR_PR),TITLE_NAME_OR_PR_CHANGE)</f>
        <v/>
      </c>
      <c r="W27" s="1258"/>
      <c r="X27" s="1258"/>
      <c r="Y27" s="1258"/>
      <c r="Z27" s="1258"/>
      <c r="AA27" s="1258"/>
      <c r="AB27" s="12"/>
      <c r="AC27" s="1258" t="str">
        <f>IF(TITLE_NAME_OR_PR_CHANGE="",IF(TITLE_NAME_OR_PR="","",TITLE_NAME_OR_PR),TITLE_NAME_OR_PR_CHANGE)</f>
        <v/>
      </c>
      <c r="AD27" s="1258"/>
      <c r="AE27" s="1258"/>
      <c r="AF27" s="1258"/>
      <c r="AG27" s="1258"/>
      <c r="AH27" s="1258"/>
      <c r="AI27" s="12"/>
      <c r="AJ27" s="12"/>
      <c r="AK27" s="161"/>
      <c r="AL27" s="69"/>
      <c r="AM27" s="69"/>
      <c r="AN27" s="69"/>
      <c r="AO27" s="69"/>
      <c r="AP27" s="69"/>
    </row>
    <row r="28" spans="1:42" s="36" customFormat="1" ht="18.75" hidden="1" customHeight="1">
      <c r="A28" s="81"/>
      <c r="B28" s="81"/>
      <c r="C28" s="81"/>
      <c r="D28" s="81"/>
      <c r="E28" s="81"/>
      <c r="F28" s="81"/>
      <c r="G28" s="81"/>
      <c r="H28" s="81"/>
      <c r="I28" s="81"/>
      <c r="J28" s="81"/>
      <c r="K28" s="81"/>
      <c r="L28" s="760"/>
      <c r="M28" s="81"/>
      <c r="N28" s="81"/>
      <c r="O28" s="81"/>
      <c r="S28" s="1257" t="s">
        <v>422</v>
      </c>
      <c r="T28" s="1257"/>
      <c r="U28" s="763"/>
      <c r="V28" s="1267" t="str">
        <f>IF(TITLE_DATE_PR_CHANGE="",IF(TITLE_DATE_PR="","",TITLE_DATE_PR),TITLE_DATE_PR_CHANGE)</f>
        <v/>
      </c>
      <c r="W28" s="1267"/>
      <c r="X28" s="1267"/>
      <c r="Y28" s="1267"/>
      <c r="Z28" s="1267"/>
      <c r="AA28" s="1267"/>
      <c r="AB28" s="12"/>
      <c r="AC28" s="1267" t="str">
        <f>IF(TITLE_DATE_PR_CHANGE="",IF(TITLE_DATE_PR="","",TITLE_DATE_PR),TITLE_DATE_PR_CHANGE)</f>
        <v/>
      </c>
      <c r="AD28" s="1267"/>
      <c r="AE28" s="1267"/>
      <c r="AF28" s="1267"/>
      <c r="AG28" s="1267"/>
      <c r="AH28" s="1267"/>
      <c r="AI28" s="12"/>
      <c r="AJ28" s="12"/>
      <c r="AK28" s="161"/>
      <c r="AL28" s="69"/>
      <c r="AM28" s="69"/>
      <c r="AN28" s="69"/>
      <c r="AO28" s="69"/>
      <c r="AP28" s="69"/>
    </row>
    <row r="29" spans="1:42" s="36" customFormat="1" ht="18.75" hidden="1" customHeight="1">
      <c r="A29" s="81"/>
      <c r="B29" s="81"/>
      <c r="C29" s="81"/>
      <c r="D29" s="81"/>
      <c r="E29" s="81"/>
      <c r="F29" s="81"/>
      <c r="G29" s="81"/>
      <c r="H29" s="81"/>
      <c r="I29" s="81"/>
      <c r="J29" s="81"/>
      <c r="K29" s="81"/>
      <c r="L29" s="760"/>
      <c r="M29" s="81"/>
      <c r="N29" s="81"/>
      <c r="O29" s="81"/>
      <c r="S29" s="1257" t="s">
        <v>423</v>
      </c>
      <c r="T29" s="1257"/>
      <c r="U29" s="763"/>
      <c r="V29" s="1258" t="str">
        <f>IF(TITLE_NUMBER_PR_CHANGE="",IF(TITLE_NUMBER_PR="","",TITLE_NUMBER_PR),TITLE_NUMBER_PR_CHANGE)</f>
        <v/>
      </c>
      <c r="W29" s="1258"/>
      <c r="X29" s="1258"/>
      <c r="Y29" s="1258"/>
      <c r="Z29" s="1258"/>
      <c r="AA29" s="1258"/>
      <c r="AB29" s="12"/>
      <c r="AC29" s="1258" t="str">
        <f>IF(TITLE_NUMBER_PR_CHANGE="",IF(TITLE_NUMBER_PR="","",TITLE_NUMBER_PR),TITLE_NUMBER_PR_CHANGE)</f>
        <v/>
      </c>
      <c r="AD29" s="1258"/>
      <c r="AE29" s="1258"/>
      <c r="AF29" s="1258"/>
      <c r="AG29" s="1258"/>
      <c r="AH29" s="1258"/>
      <c r="AI29" s="12"/>
      <c r="AJ29" s="12"/>
      <c r="AK29" s="161"/>
      <c r="AL29" s="69"/>
      <c r="AM29" s="69"/>
      <c r="AN29" s="69"/>
      <c r="AO29" s="69"/>
      <c r="AP29" s="69"/>
    </row>
    <row r="30" spans="1:42" s="36" customFormat="1" ht="18.75" hidden="1" customHeight="1">
      <c r="A30" s="81"/>
      <c r="B30" s="81"/>
      <c r="C30" s="81"/>
      <c r="D30" s="81"/>
      <c r="E30" s="81"/>
      <c r="F30" s="81"/>
      <c r="G30" s="81"/>
      <c r="H30" s="81"/>
      <c r="I30" s="81"/>
      <c r="J30" s="81"/>
      <c r="K30" s="81"/>
      <c r="L30" s="760"/>
      <c r="M30" s="81"/>
      <c r="N30" s="81"/>
      <c r="O30" s="81"/>
      <c r="S30" s="1257" t="s">
        <v>38</v>
      </c>
      <c r="T30" s="1257"/>
      <c r="U30" s="763"/>
      <c r="V30" s="1258" t="str">
        <f>IF(TITLE_IST_PUB_CHANGE="",IF(TITLE_IST_PUB="","",TITLE_IST_PUB),TITLE_IST_PUB_CHANGE)</f>
        <v/>
      </c>
      <c r="W30" s="1258"/>
      <c r="X30" s="1258"/>
      <c r="Y30" s="1258"/>
      <c r="Z30" s="1258"/>
      <c r="AA30" s="1258"/>
      <c r="AB30" s="12"/>
      <c r="AC30" s="1258" t="str">
        <f>IF(TITLE_IST_PUB_CHANGE="",IF(TITLE_IST_PUB="","",TITLE_IST_PUB),TITLE_IST_PUB_CHANGE)</f>
        <v/>
      </c>
      <c r="AD30" s="1258"/>
      <c r="AE30" s="1258"/>
      <c r="AF30" s="1258"/>
      <c r="AG30" s="1258"/>
      <c r="AH30" s="1258"/>
      <c r="AI30" s="12"/>
      <c r="AJ30" s="12"/>
      <c r="AK30" s="161"/>
      <c r="AL30" s="69"/>
      <c r="AM30" s="69"/>
      <c r="AN30" s="69"/>
      <c r="AO30" s="69"/>
      <c r="AP30" s="69"/>
    </row>
    <row r="31" spans="1:42" ht="14.25" hidden="1" customHeight="1">
      <c r="Q31" s="29"/>
      <c r="R31" s="29"/>
      <c r="S31" s="729"/>
      <c r="T31" s="11"/>
      <c r="U31" s="11"/>
      <c r="V31" s="187"/>
      <c r="W31" s="187"/>
      <c r="X31" s="187"/>
      <c r="Y31" s="187"/>
      <c r="Z31" s="187"/>
      <c r="AA31" s="187"/>
      <c r="AB31" s="187"/>
      <c r="AC31" s="187"/>
      <c r="AD31" s="187"/>
      <c r="AE31" s="187"/>
      <c r="AF31" s="187"/>
      <c r="AG31" s="187"/>
      <c r="AH31" s="187"/>
      <c r="AI31" s="187"/>
    </row>
    <row r="32" spans="1:42" s="36" customFormat="1" ht="18.75" hidden="1" customHeight="1">
      <c r="A32" s="81"/>
      <c r="B32" s="81"/>
      <c r="C32" s="81"/>
      <c r="D32" s="81"/>
      <c r="E32" s="81"/>
      <c r="F32" s="81"/>
      <c r="G32" s="81"/>
      <c r="H32" s="81"/>
      <c r="I32" s="81"/>
      <c r="J32" s="81"/>
      <c r="K32" s="81"/>
      <c r="L32" s="760"/>
      <c r="M32" s="81"/>
      <c r="N32" s="81"/>
      <c r="O32" s="81"/>
      <c r="S32" s="1257" t="s">
        <v>424</v>
      </c>
      <c r="T32" s="1257"/>
      <c r="U32" s="763"/>
      <c r="V32" s="1267" t="str">
        <f>IF(TITLE_DATE_PR_CHANGE="",IF(TITLE_DATE_PR="","",TITLE_DATE_PR),TITLE_DATE_PR_CHANGE)</f>
        <v/>
      </c>
      <c r="W32" s="1267"/>
      <c r="X32" s="1267"/>
      <c r="Y32" s="1267"/>
      <c r="Z32" s="1267"/>
      <c r="AA32" s="1267"/>
      <c r="AB32" s="12"/>
      <c r="AC32" s="1267" t="str">
        <f>IF(TITLE_DATE_PR_CHANGE="",IF(TITLE_DATE_PR="","",TITLE_DATE_PR),TITLE_DATE_PR_CHANGE)</f>
        <v/>
      </c>
      <c r="AD32" s="1267"/>
      <c r="AE32" s="1267"/>
      <c r="AF32" s="1267"/>
      <c r="AG32" s="1267"/>
      <c r="AH32" s="1267"/>
      <c r="AI32" s="12"/>
      <c r="AJ32" s="12"/>
      <c r="AK32" s="161"/>
      <c r="AL32" s="69"/>
      <c r="AM32" s="69"/>
      <c r="AN32" s="69"/>
      <c r="AO32" s="69"/>
      <c r="AP32" s="69"/>
    </row>
    <row r="33" spans="1:42" s="36" customFormat="1" ht="18.75" hidden="1" customHeight="1">
      <c r="A33" s="81"/>
      <c r="B33" s="81"/>
      <c r="C33" s="81"/>
      <c r="D33" s="81"/>
      <c r="E33" s="81"/>
      <c r="F33" s="81"/>
      <c r="G33" s="81"/>
      <c r="H33" s="81"/>
      <c r="I33" s="81"/>
      <c r="J33" s="81"/>
      <c r="K33" s="81"/>
      <c r="L33" s="760"/>
      <c r="M33" s="81"/>
      <c r="N33" s="81"/>
      <c r="O33" s="81"/>
      <c r="S33" s="1257" t="s">
        <v>425</v>
      </c>
      <c r="T33" s="1257"/>
      <c r="U33" s="763"/>
      <c r="V33" s="1258" t="str">
        <f>IF(TITLE_NUMBER_PR_CHANGE="",IF(TITLE_NUMBER_PR="","",TITLE_NUMBER_PR),TITLE_NUMBER_PR_CHANGE)</f>
        <v/>
      </c>
      <c r="W33" s="1258"/>
      <c r="X33" s="1258"/>
      <c r="Y33" s="1258"/>
      <c r="Z33" s="1258"/>
      <c r="AA33" s="1258"/>
      <c r="AB33" s="12"/>
      <c r="AC33" s="1258" t="str">
        <f>IF(TITLE_NUMBER_PR_CHANGE="",IF(TITLE_NUMBER_PR="","",TITLE_NUMBER_PR),TITLE_NUMBER_PR_CHANGE)</f>
        <v/>
      </c>
      <c r="AD33" s="1258"/>
      <c r="AE33" s="1258"/>
      <c r="AF33" s="1258"/>
      <c r="AG33" s="1258"/>
      <c r="AH33" s="1258"/>
      <c r="AI33" s="12"/>
      <c r="AJ33" s="12"/>
      <c r="AK33" s="161"/>
      <c r="AL33" s="69"/>
      <c r="AM33" s="69"/>
      <c r="AN33" s="69"/>
      <c r="AO33" s="69"/>
      <c r="AP33" s="69"/>
    </row>
    <row r="34" spans="1:42" s="36" customFormat="1" ht="0.75" customHeight="1">
      <c r="A34" s="81"/>
      <c r="B34" s="81"/>
      <c r="C34" s="81"/>
      <c r="D34" s="81"/>
      <c r="E34" s="81"/>
      <c r="F34" s="81"/>
      <c r="G34" s="81"/>
      <c r="H34" s="81"/>
      <c r="I34" s="81"/>
      <c r="J34" s="81"/>
      <c r="K34" s="81"/>
      <c r="L34" s="760"/>
      <c r="M34" s="81"/>
      <c r="N34" s="81"/>
      <c r="O34" s="81"/>
      <c r="S34" s="12"/>
      <c r="T34" s="12"/>
      <c r="U34" s="77"/>
      <c r="V34" s="12"/>
      <c r="W34" s="12"/>
      <c r="X34" s="12"/>
      <c r="Y34" s="12"/>
      <c r="Z34" s="12"/>
      <c r="AA34" s="12"/>
      <c r="AB34" s="68" t="s">
        <v>426</v>
      </c>
      <c r="AC34" s="12"/>
      <c r="AD34" s="12"/>
      <c r="AE34" s="12"/>
      <c r="AF34" s="12"/>
      <c r="AG34" s="12"/>
      <c r="AH34" s="12"/>
      <c r="AI34" s="68" t="s">
        <v>426</v>
      </c>
      <c r="AL34" s="69"/>
      <c r="AM34" s="69"/>
      <c r="AN34" s="69"/>
      <c r="AO34" s="69"/>
      <c r="AP34" s="69"/>
    </row>
    <row r="35" spans="1:42" ht="14.25" customHeight="1">
      <c r="Q35" s="29"/>
      <c r="R35" s="29"/>
      <c r="S35" s="729"/>
      <c r="T35" s="11"/>
      <c r="U35" s="709"/>
      <c r="V35" s="1259"/>
      <c r="W35" s="1259"/>
      <c r="X35" s="1259"/>
      <c r="Y35" s="1259"/>
      <c r="Z35" s="1259"/>
      <c r="AA35" s="1259"/>
      <c r="AB35" s="1259"/>
      <c r="AC35" s="1259"/>
      <c r="AD35" s="1259"/>
      <c r="AE35" s="1259"/>
      <c r="AF35" s="1259"/>
      <c r="AG35" s="1259"/>
      <c r="AH35" s="1259"/>
      <c r="AI35" s="1259"/>
    </row>
    <row r="36" spans="1:42" ht="14.25" customHeight="1">
      <c r="Q36" s="29"/>
      <c r="R36" s="29"/>
      <c r="S36" s="1146" t="s">
        <v>299</v>
      </c>
      <c r="T36" s="1146"/>
      <c r="U36" s="1146"/>
      <c r="V36" s="1146"/>
      <c r="W36" s="1146"/>
      <c r="X36" s="1146"/>
      <c r="Y36" s="1146"/>
      <c r="Z36" s="1146"/>
      <c r="AA36" s="1146"/>
      <c r="AB36" s="1146"/>
      <c r="AC36" s="1146"/>
      <c r="AD36" s="1146"/>
      <c r="AE36" s="1146"/>
      <c r="AF36" s="1146"/>
      <c r="AG36" s="1146"/>
      <c r="AH36" s="1146"/>
      <c r="AI36" s="1146"/>
      <c r="AJ36" s="1146"/>
      <c r="AK36" s="1146" t="s">
        <v>300</v>
      </c>
    </row>
    <row r="37" spans="1:42" ht="14.25" customHeight="1">
      <c r="Q37" s="29"/>
      <c r="R37" s="29"/>
      <c r="S37" s="1273" t="s">
        <v>84</v>
      </c>
      <c r="T37" s="1224" t="s">
        <v>427</v>
      </c>
      <c r="U37" s="170"/>
      <c r="V37" s="1274" t="s">
        <v>428</v>
      </c>
      <c r="W37" s="1275"/>
      <c r="X37" s="1275"/>
      <c r="Y37" s="1275"/>
      <c r="Z37" s="1275"/>
      <c r="AA37" s="1276"/>
      <c r="AB37" s="1277" t="s">
        <v>429</v>
      </c>
      <c r="AC37" s="1274" t="s">
        <v>428</v>
      </c>
      <c r="AD37" s="1275"/>
      <c r="AE37" s="1275"/>
      <c r="AF37" s="1275"/>
      <c r="AG37" s="1275"/>
      <c r="AH37" s="1276"/>
      <c r="AI37" s="1277" t="s">
        <v>430</v>
      </c>
      <c r="AJ37" s="1280" t="s">
        <v>431</v>
      </c>
      <c r="AK37" s="1146"/>
    </row>
    <row r="38" spans="1:42" ht="33.75" customHeight="1">
      <c r="Q38" s="29"/>
      <c r="R38" s="29"/>
      <c r="S38" s="1273"/>
      <c r="T38" s="1224"/>
      <c r="U38" s="595"/>
      <c r="V38" s="332" t="s">
        <v>488</v>
      </c>
      <c r="W38" s="1117" t="s">
        <v>434</v>
      </c>
      <c r="X38" s="1116"/>
      <c r="Y38" s="1117" t="s">
        <v>435</v>
      </c>
      <c r="Z38" s="1122"/>
      <c r="AA38" s="1116"/>
      <c r="AB38" s="1278"/>
      <c r="AC38" s="332" t="s">
        <v>488</v>
      </c>
      <c r="AD38" s="1117" t="s">
        <v>434</v>
      </c>
      <c r="AE38" s="1116"/>
      <c r="AF38" s="1117" t="s">
        <v>435</v>
      </c>
      <c r="AG38" s="1122"/>
      <c r="AH38" s="1116"/>
      <c r="AI38" s="1278"/>
      <c r="AJ38" s="1281"/>
      <c r="AK38" s="1146"/>
    </row>
    <row r="39" spans="1:42" ht="33.75" customHeight="1">
      <c r="A39" s="81"/>
      <c r="B39" s="81" t="s">
        <v>136</v>
      </c>
      <c r="C39" s="81" t="s">
        <v>137</v>
      </c>
      <c r="D39" s="81" t="s">
        <v>138</v>
      </c>
      <c r="E39" s="760" t="s">
        <v>436</v>
      </c>
      <c r="F39" s="760" t="s">
        <v>437</v>
      </c>
      <c r="G39" s="760" t="s">
        <v>438</v>
      </c>
      <c r="H39" s="760"/>
      <c r="I39" s="760" t="s">
        <v>489</v>
      </c>
      <c r="J39" s="760" t="s">
        <v>441</v>
      </c>
      <c r="K39" s="760" t="s">
        <v>490</v>
      </c>
      <c r="L39" s="760" t="s">
        <v>417</v>
      </c>
      <c r="Q39" s="29"/>
      <c r="R39" s="29"/>
      <c r="S39" s="1273"/>
      <c r="T39" s="1224"/>
      <c r="U39" s="171"/>
      <c r="V39" s="332" t="s">
        <v>491</v>
      </c>
      <c r="W39" s="40" t="s">
        <v>492</v>
      </c>
      <c r="X39" s="40" t="s">
        <v>493</v>
      </c>
      <c r="Y39" s="40" t="s">
        <v>445</v>
      </c>
      <c r="Z39" s="1233" t="s">
        <v>446</v>
      </c>
      <c r="AA39" s="1235"/>
      <c r="AB39" s="1279"/>
      <c r="AC39" s="332" t="s">
        <v>491</v>
      </c>
      <c r="AD39" s="40" t="s">
        <v>492</v>
      </c>
      <c r="AE39" s="40" t="s">
        <v>493</v>
      </c>
      <c r="AF39" s="40" t="s">
        <v>445</v>
      </c>
      <c r="AG39" s="1233" t="s">
        <v>446</v>
      </c>
      <c r="AH39" s="1235"/>
      <c r="AI39" s="1279"/>
      <c r="AJ39" s="1282"/>
      <c r="AK39" s="1146"/>
    </row>
    <row r="40" spans="1:42" s="201" customFormat="1" ht="11.25" hidden="1" customHeight="1">
      <c r="A40" s="81"/>
      <c r="B40" s="81"/>
      <c r="C40" s="81"/>
      <c r="D40" s="81"/>
      <c r="E40" s="81"/>
      <c r="F40" s="81"/>
      <c r="G40" s="81"/>
      <c r="H40" s="81"/>
      <c r="I40" s="81"/>
      <c r="J40" s="81"/>
      <c r="K40" s="81"/>
      <c r="L40" s="760"/>
      <c r="M40" s="497"/>
      <c r="N40" s="497"/>
      <c r="O40" s="497"/>
      <c r="P40" s="711"/>
      <c r="Q40" s="712"/>
      <c r="R40" s="714">
        <v>1</v>
      </c>
      <c r="S40" s="731" t="s">
        <v>105</v>
      </c>
      <c r="T40" s="715" t="s">
        <v>106</v>
      </c>
      <c r="U40" s="710" t="str">
        <f ca="1">OFFSET(U40,0,-1)</f>
        <v>2</v>
      </c>
      <c r="V40" s="716">
        <f ca="1">OFFSET(V40,0,-1)+1</f>
        <v>3</v>
      </c>
      <c r="W40" s="716">
        <f ca="1">OFFSET(W40,0,-1)+1</f>
        <v>4</v>
      </c>
      <c r="X40" s="716">
        <f ca="1">OFFSET(X40,0,-1)+1</f>
        <v>5</v>
      </c>
      <c r="Y40" s="716">
        <f ca="1">OFFSET(Y40,0,-1)+1</f>
        <v>6</v>
      </c>
      <c r="Z40" s="1272">
        <f ca="1">OFFSET(Z40,0,-1)+1</f>
        <v>7</v>
      </c>
      <c r="AA40" s="1272"/>
      <c r="AB40" s="716">
        <f ca="1">OFFSET(AB40,0,-2)+1</f>
        <v>8</v>
      </c>
      <c r="AC40" s="716">
        <f ca="1">OFFSET(AC40,0,-1)+1</f>
        <v>9</v>
      </c>
      <c r="AD40" s="716">
        <f ca="1">OFFSET(AD40,0,-1)+1</f>
        <v>10</v>
      </c>
      <c r="AE40" s="716">
        <f ca="1">OFFSET(AE40,0,-1)+1</f>
        <v>11</v>
      </c>
      <c r="AF40" s="716">
        <f ca="1">OFFSET(AF40,0,-1)+1</f>
        <v>12</v>
      </c>
      <c r="AG40" s="1272">
        <f ca="1">OFFSET(AG40,0,-1)+1</f>
        <v>13</v>
      </c>
      <c r="AH40" s="1272"/>
      <c r="AI40" s="716">
        <f ca="1">OFFSET(AI40,0,-2)+1</f>
        <v>14</v>
      </c>
      <c r="AJ40" s="710">
        <f ca="1">OFFSET(AJ40,0,-1)</f>
        <v>14</v>
      </c>
      <c r="AK40" s="716">
        <f ca="1">OFFSET(AK40,0,-1)+1</f>
        <v>15</v>
      </c>
      <c r="AL40" s="68"/>
      <c r="AM40" s="68"/>
      <c r="AN40" s="68"/>
      <c r="AO40" s="68"/>
      <c r="AP40" s="68"/>
    </row>
    <row r="41" spans="1:42" ht="23.25" customHeight="1">
      <c r="A41" s="759" t="s">
        <v>225</v>
      </c>
      <c r="B41" s="759"/>
      <c r="C41" s="759"/>
      <c r="D41" s="759"/>
      <c r="E41" s="1265">
        <v>1</v>
      </c>
      <c r="F41" s="759"/>
      <c r="G41" s="759"/>
      <c r="H41" s="759"/>
      <c r="I41" s="759"/>
      <c r="J41" s="759"/>
      <c r="K41" s="759"/>
      <c r="L41" s="760"/>
      <c r="M41" s="417"/>
      <c r="N41" s="417"/>
      <c r="O41" s="417"/>
      <c r="Q41" s="35"/>
      <c r="R41" s="205"/>
      <c r="S41" s="698">
        <f>INDEX(PT_DIFFERENTIATION_NUM_NTAR,MATCH(A41,PT_DIFFERENTIATION_NTAR_ID,0))</f>
        <v>0</v>
      </c>
      <c r="T41" s="67" t="s">
        <v>124</v>
      </c>
      <c r="U41" s="169"/>
      <c r="V41" s="1251"/>
      <c r="W41" s="1252"/>
      <c r="X41" s="1252"/>
      <c r="Y41" s="1252"/>
      <c r="Z41" s="1252"/>
      <c r="AA41" s="1252"/>
      <c r="AB41" s="1253"/>
      <c r="AC41" s="1251" t="str">
        <f>INDEX(PT_DIFFERENTIATION_NTAR,MATCH(A41,PT_DIFFERENTIATION_NTAR_ID,0))</f>
        <v/>
      </c>
      <c r="AD41" s="1252"/>
      <c r="AE41" s="1252"/>
      <c r="AF41" s="1252"/>
      <c r="AG41" s="1252"/>
      <c r="AH41" s="1252"/>
      <c r="AI41" s="1252"/>
      <c r="AJ41" s="1253"/>
      <c r="AK41"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row>
    <row r="42" spans="1:42" ht="23.25" customHeight="1">
      <c r="A42" s="759" t="s">
        <v>225</v>
      </c>
      <c r="B42" s="759" t="s">
        <v>226</v>
      </c>
      <c r="C42" s="759"/>
      <c r="D42" s="759"/>
      <c r="E42" s="1266"/>
      <c r="F42" s="1265">
        <v>1</v>
      </c>
      <c r="G42" s="759"/>
      <c r="H42" s="759"/>
      <c r="I42" s="759"/>
      <c r="J42" s="759"/>
      <c r="K42" s="759"/>
      <c r="L42" s="760"/>
      <c r="M42" s="417"/>
      <c r="N42" s="417"/>
      <c r="O42" s="417"/>
      <c r="P42" s="59"/>
      <c r="Q42" s="202"/>
      <c r="R42" s="203"/>
      <c r="S42" s="698" t="str">
        <f>INDEX(PT_DIFFERENTIATION_NUM_TER,MATCH(B42,PT_DIFFERENTIATION_TER_ID,0))</f>
        <v>.</v>
      </c>
      <c r="T42" s="175" t="s">
        <v>396</v>
      </c>
      <c r="U42" s="169"/>
      <c r="V42" s="1251"/>
      <c r="W42" s="1252"/>
      <c r="X42" s="1252"/>
      <c r="Y42" s="1252"/>
      <c r="Z42" s="1252"/>
      <c r="AA42" s="1252"/>
      <c r="AB42" s="1253"/>
      <c r="AC42" s="1251" t="str">
        <f>INDEX(PT_DIFFERENTIATION_TER,MATCH(B42,PT_DIFFERENTIATION_TER_ID,0))</f>
        <v/>
      </c>
      <c r="AD42" s="1252"/>
      <c r="AE42" s="1252"/>
      <c r="AF42" s="1252"/>
      <c r="AG42" s="1252"/>
      <c r="AH42" s="1252"/>
      <c r="AI42" s="1252"/>
      <c r="AJ42" s="1253"/>
      <c r="AK42" s="718" t="s">
        <v>397</v>
      </c>
      <c r="AM42" s="69"/>
      <c r="AN42" s="69" t="str">
        <f t="shared" si="1"/>
        <v>Территория действия тарифа</v>
      </c>
      <c r="AO42" s="69"/>
      <c r="AP42" s="69"/>
    </row>
    <row r="43" spans="1:42" ht="23.25" customHeight="1">
      <c r="A43" s="759" t="s">
        <v>225</v>
      </c>
      <c r="B43" s="759" t="s">
        <v>226</v>
      </c>
      <c r="C43" s="759" t="s">
        <v>227</v>
      </c>
      <c r="D43" s="759"/>
      <c r="E43" s="1266"/>
      <c r="F43" s="1266"/>
      <c r="G43" s="1265">
        <v>1</v>
      </c>
      <c r="H43" s="759"/>
      <c r="I43" s="759"/>
      <c r="J43" s="759"/>
      <c r="K43" s="759"/>
      <c r="L43" s="760"/>
      <c r="M43" s="417"/>
      <c r="N43" s="417"/>
      <c r="O43" s="417"/>
      <c r="P43" s="204"/>
      <c r="Q43" s="202"/>
      <c r="R43" s="203"/>
      <c r="S43" s="698" t="str">
        <f>INDEX(PT_DIFFERENTIATION_NUM_CS,MATCH(C43,PT_DIFFERENTIATION_CS_ID,0))</f>
        <v>..</v>
      </c>
      <c r="T43" s="176" t="s">
        <v>480</v>
      </c>
      <c r="U43" s="169"/>
      <c r="V43" s="1251"/>
      <c r="W43" s="1252"/>
      <c r="X43" s="1252"/>
      <c r="Y43" s="1252"/>
      <c r="Z43" s="1252"/>
      <c r="AA43" s="1252"/>
      <c r="AB43" s="1253"/>
      <c r="AC43" s="1251" t="str">
        <f>INDEX(PT_DIFFERENTIATION_CS,MATCH(C43,PT_DIFFERENTIATION_CS_ID,0))</f>
        <v/>
      </c>
      <c r="AD43" s="1252"/>
      <c r="AE43" s="1252"/>
      <c r="AF43" s="1252"/>
      <c r="AG43" s="1252"/>
      <c r="AH43" s="1252"/>
      <c r="AI43" s="1252"/>
      <c r="AJ43" s="1253"/>
      <c r="AK43" s="718" t="s">
        <v>481</v>
      </c>
      <c r="AM43" s="69"/>
      <c r="AN43" s="69" t="str">
        <f t="shared" si="1"/>
        <v>Наименование централизованной системы холодного водоснабжения</v>
      </c>
      <c r="AO43" s="69"/>
      <c r="AP43" s="69"/>
    </row>
    <row r="44" spans="1:42" ht="23.25" customHeight="1">
      <c r="A44" s="759" t="s">
        <v>225</v>
      </c>
      <c r="B44" s="759" t="s">
        <v>226</v>
      </c>
      <c r="C44" s="759" t="s">
        <v>227</v>
      </c>
      <c r="D44" s="759" t="s">
        <v>494</v>
      </c>
      <c r="E44" s="1266"/>
      <c r="F44" s="1266"/>
      <c r="G44" s="1266"/>
      <c r="H44" s="1266"/>
      <c r="I44" s="1263" t="str">
        <f>S43&amp;".1"</f>
        <v>...1</v>
      </c>
      <c r="J44" s="759"/>
      <c r="K44" s="759"/>
      <c r="L44" s="760"/>
      <c r="P44" s="1264">
        <v>1</v>
      </c>
      <c r="Q44" s="120"/>
      <c r="R44" s="206"/>
      <c r="S44" s="698" t="str">
        <f>$I44</f>
        <v>...1</v>
      </c>
      <c r="T44" s="162" t="s">
        <v>482</v>
      </c>
      <c r="U44" s="169"/>
      <c r="V44" s="1331"/>
      <c r="W44" s="1332"/>
      <c r="X44" s="1332"/>
      <c r="Y44" s="1332"/>
      <c r="Z44" s="1332"/>
      <c r="AA44" s="1332"/>
      <c r="AB44" s="1333"/>
      <c r="AC44" s="1334"/>
      <c r="AD44" s="1335"/>
      <c r="AE44" s="1335"/>
      <c r="AF44" s="1335"/>
      <c r="AG44" s="1335"/>
      <c r="AH44" s="1335"/>
      <c r="AI44" s="1335"/>
      <c r="AJ44" s="1336"/>
      <c r="AK44" s="718" t="s">
        <v>483</v>
      </c>
      <c r="AM44" s="69"/>
      <c r="AN44" s="69" t="str">
        <f t="shared" si="1"/>
        <v>Наименование признака дифференциации</v>
      </c>
      <c r="AO44" s="69"/>
      <c r="AP44" s="69"/>
    </row>
    <row r="45" spans="1:42" ht="23.25" customHeight="1">
      <c r="A45" s="759" t="s">
        <v>225</v>
      </c>
      <c r="B45" s="759" t="s">
        <v>226</v>
      </c>
      <c r="C45" s="759" t="s">
        <v>227</v>
      </c>
      <c r="D45" s="759" t="s">
        <v>494</v>
      </c>
      <c r="E45" s="1266"/>
      <c r="F45" s="1266"/>
      <c r="G45" s="1266"/>
      <c r="H45" s="1266"/>
      <c r="I45" s="1286"/>
      <c r="J45" s="1263" t="str">
        <f>I44&amp;".1"</f>
        <v>...1.1</v>
      </c>
      <c r="K45" s="759"/>
      <c r="L45" s="760" t="s">
        <v>405</v>
      </c>
      <c r="P45" s="1264"/>
      <c r="Q45" s="1264">
        <v>1</v>
      </c>
      <c r="R45" s="207"/>
      <c r="S45" s="698" t="str">
        <f>$J45</f>
        <v>...1.1</v>
      </c>
      <c r="T45" s="163" t="s">
        <v>406</v>
      </c>
      <c r="U45" s="169"/>
      <c r="V45" s="1254"/>
      <c r="W45" s="1255"/>
      <c r="X45" s="1255"/>
      <c r="Y45" s="1255"/>
      <c r="Z45" s="1255"/>
      <c r="AA45" s="1255"/>
      <c r="AB45" s="1256"/>
      <c r="AC45" s="1254"/>
      <c r="AD45" s="1255"/>
      <c r="AE45" s="1255"/>
      <c r="AF45" s="1255"/>
      <c r="AG45" s="1255"/>
      <c r="AH45" s="1255"/>
      <c r="AI45" s="1255"/>
      <c r="AJ45" s="1256"/>
      <c r="AK45" s="743" t="s">
        <v>484</v>
      </c>
      <c r="AM45" s="69"/>
      <c r="AN45" s="69" t="str">
        <f t="shared" si="1"/>
        <v>Группа потребителей</v>
      </c>
      <c r="AO45" s="69"/>
      <c r="AP45" s="69"/>
    </row>
    <row r="46" spans="1:42" ht="23.25" customHeight="1">
      <c r="A46" s="759" t="s">
        <v>225</v>
      </c>
      <c r="B46" s="759" t="s">
        <v>226</v>
      </c>
      <c r="C46" s="759" t="s">
        <v>227</v>
      </c>
      <c r="D46" s="759" t="s">
        <v>494</v>
      </c>
      <c r="E46" s="1266"/>
      <c r="F46" s="1266"/>
      <c r="G46" s="1266"/>
      <c r="H46" s="1266"/>
      <c r="I46" s="1286"/>
      <c r="J46" s="1286"/>
      <c r="K46" s="1263" t="str">
        <f>J45&amp;".1"</f>
        <v>...1.1.1</v>
      </c>
      <c r="L46" s="760"/>
      <c r="P46" s="1264"/>
      <c r="Q46" s="1264"/>
      <c r="R46" s="207">
        <v>1</v>
      </c>
      <c r="S46" s="698" t="str">
        <f>$K46</f>
        <v>...1.1.1</v>
      </c>
      <c r="T46" s="802"/>
      <c r="U46" s="169"/>
      <c r="V46" s="359"/>
      <c r="W46" s="359"/>
      <c r="X46" s="758"/>
      <c r="Y46" s="1270"/>
      <c r="Z46" s="1271" t="s">
        <v>62</v>
      </c>
      <c r="AA46" s="1270"/>
      <c r="AB46" s="1271" t="s">
        <v>62</v>
      </c>
      <c r="AC46" s="304"/>
      <c r="AD46" s="304"/>
      <c r="AE46" s="717"/>
      <c r="AF46" s="1268"/>
      <c r="AG46" s="1127" t="s">
        <v>62</v>
      </c>
      <c r="AH46" s="1287"/>
      <c r="AI46" s="1127" t="s">
        <v>52</v>
      </c>
      <c r="AJ46" s="803"/>
      <c r="AK46" s="1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row>
    <row r="47" spans="1:42" ht="0" hidden="1" customHeight="1">
      <c r="A47" s="759" t="s">
        <v>225</v>
      </c>
      <c r="B47" s="759" t="s">
        <v>226</v>
      </c>
      <c r="C47" s="759" t="s">
        <v>227</v>
      </c>
      <c r="D47" s="759" t="s">
        <v>494</v>
      </c>
      <c r="E47" s="1266"/>
      <c r="F47" s="1266"/>
      <c r="G47" s="1266"/>
      <c r="H47" s="1266"/>
      <c r="I47" s="1286"/>
      <c r="J47" s="1286"/>
      <c r="K47" s="1263"/>
      <c r="L47" s="760"/>
      <c r="P47" s="1264"/>
      <c r="Q47" s="1264"/>
      <c r="R47" s="207"/>
      <c r="S47" s="65"/>
      <c r="T47" s="169"/>
      <c r="U47" s="169"/>
      <c r="V47" s="359"/>
      <c r="W47" s="359"/>
      <c r="X47" s="190" t="str">
        <f>Y46&amp;"-"&amp;AA46</f>
        <v>-</v>
      </c>
      <c r="Y47" s="1271"/>
      <c r="Z47" s="1271"/>
      <c r="AA47" s="1271"/>
      <c r="AB47" s="1271"/>
      <c r="AC47" s="189"/>
      <c r="AD47" s="189"/>
      <c r="AE47" s="190" t="str">
        <f>AF46&amp;"-"&amp;AH46</f>
        <v>-</v>
      </c>
      <c r="AF47" s="1269"/>
      <c r="AG47" s="1127"/>
      <c r="AH47" s="1288"/>
      <c r="AI47" s="1127"/>
      <c r="AJ47" s="379"/>
      <c r="AK47" s="1330"/>
      <c r="AM47" s="69"/>
      <c r="AN47" s="69" t="str">
        <f t="shared" si="1"/>
        <v/>
      </c>
      <c r="AO47" s="69"/>
      <c r="AP47" s="69"/>
    </row>
    <row r="48" spans="1:42" ht="21" customHeight="1">
      <c r="A48" s="759" t="s">
        <v>225</v>
      </c>
      <c r="B48" s="759" t="s">
        <v>226</v>
      </c>
      <c r="C48" s="759" t="s">
        <v>227</v>
      </c>
      <c r="D48" s="759" t="s">
        <v>494</v>
      </c>
      <c r="E48" s="1266"/>
      <c r="F48" s="1266"/>
      <c r="G48" s="1266"/>
      <c r="H48" s="1266"/>
      <c r="I48" s="1286"/>
      <c r="J48" s="1263"/>
      <c r="K48" s="759"/>
      <c r="L48" s="760"/>
      <c r="P48" s="1264"/>
      <c r="Q48" s="1264"/>
      <c r="R48" s="206"/>
      <c r="S48" s="732"/>
      <c r="T48" s="164" t="s">
        <v>485</v>
      </c>
      <c r="U48" s="211"/>
      <c r="V48" s="211"/>
      <c r="W48" s="211"/>
      <c r="X48" s="211"/>
      <c r="Y48" s="211"/>
      <c r="Z48" s="211"/>
      <c r="AA48" s="211"/>
      <c r="AB48" s="211"/>
      <c r="AC48" s="211"/>
      <c r="AD48" s="211"/>
      <c r="AE48" s="211"/>
      <c r="AF48" s="211"/>
      <c r="AG48" s="211"/>
      <c r="AH48" s="211"/>
      <c r="AI48" s="211"/>
      <c r="AJ48" s="211"/>
      <c r="AK48" s="718" t="s">
        <v>486</v>
      </c>
      <c r="AM48" s="69"/>
      <c r="AN48" s="69" t="str">
        <f t="shared" si="1"/>
        <v>Добавить значение признака дифференциации</v>
      </c>
      <c r="AO48" s="69"/>
      <c r="AP48" s="69"/>
    </row>
    <row r="49" spans="1:42" ht="21" customHeight="1">
      <c r="A49" s="759" t="s">
        <v>225</v>
      </c>
      <c r="B49" s="759" t="s">
        <v>226</v>
      </c>
      <c r="C49" s="759" t="s">
        <v>227</v>
      </c>
      <c r="D49" s="759" t="s">
        <v>494</v>
      </c>
      <c r="E49" s="1266"/>
      <c r="F49" s="1266"/>
      <c r="G49" s="1266"/>
      <c r="H49" s="1266"/>
      <c r="I49" s="1263"/>
      <c r="J49" s="759"/>
      <c r="K49" s="759"/>
      <c r="L49" s="760"/>
      <c r="P49" s="1264"/>
      <c r="Q49" s="120"/>
      <c r="R49" s="206"/>
      <c r="S49" s="732"/>
      <c r="T49" s="209" t="s">
        <v>411</v>
      </c>
      <c r="U49" s="211"/>
      <c r="V49" s="211"/>
      <c r="W49" s="211"/>
      <c r="X49" s="211"/>
      <c r="Y49" s="211"/>
      <c r="Z49" s="211"/>
      <c r="AA49" s="211"/>
      <c r="AB49" s="210"/>
      <c r="AC49" s="211"/>
      <c r="AD49" s="211"/>
      <c r="AE49" s="211"/>
      <c r="AF49" s="211"/>
      <c r="AG49" s="211"/>
      <c r="AH49" s="211"/>
      <c r="AI49" s="210"/>
      <c r="AJ49" s="211"/>
      <c r="AK49" s="804"/>
      <c r="AM49" s="69"/>
      <c r="AN49" s="69" t="str">
        <f t="shared" si="1"/>
        <v>Добавить группу потребителей</v>
      </c>
      <c r="AO49" s="69"/>
      <c r="AP49" s="69"/>
    </row>
    <row r="50" spans="1:42" ht="21" customHeight="1">
      <c r="A50" s="759" t="s">
        <v>225</v>
      </c>
      <c r="B50" s="759" t="s">
        <v>226</v>
      </c>
      <c r="C50" s="759" t="s">
        <v>227</v>
      </c>
      <c r="D50" s="759" t="s">
        <v>494</v>
      </c>
      <c r="E50" s="1266"/>
      <c r="F50" s="1266"/>
      <c r="G50" s="1266"/>
      <c r="H50" s="1265"/>
      <c r="I50" s="759"/>
      <c r="J50" s="759"/>
      <c r="K50" s="759"/>
      <c r="L50" s="760"/>
      <c r="M50" s="417"/>
      <c r="N50" s="417"/>
      <c r="O50" s="63"/>
      <c r="P50" s="35"/>
      <c r="Q50" s="214"/>
      <c r="R50" s="205"/>
      <c r="S50" s="732"/>
      <c r="T50" s="105" t="s">
        <v>487</v>
      </c>
      <c r="U50" s="211"/>
      <c r="V50" s="211"/>
      <c r="W50" s="211"/>
      <c r="X50" s="211"/>
      <c r="Y50" s="211"/>
      <c r="Z50" s="211"/>
      <c r="AA50" s="211"/>
      <c r="AB50" s="210"/>
      <c r="AC50" s="211"/>
      <c r="AD50" s="211"/>
      <c r="AE50" s="211"/>
      <c r="AF50" s="211"/>
      <c r="AG50" s="211"/>
      <c r="AH50" s="211"/>
      <c r="AI50" s="210"/>
      <c r="AJ50" s="211"/>
      <c r="AK50" s="172"/>
      <c r="AM50" s="69"/>
      <c r="AN50" s="69" t="str">
        <f t="shared" si="1"/>
        <v>Добавить наименование признака дифференциации</v>
      </c>
      <c r="AO50" s="69"/>
      <c r="AP50" s="69"/>
    </row>
    <row r="51" spans="1:42" s="68" customFormat="1" ht="0" hidden="1" customHeight="1">
      <c r="A51" s="143" t="s">
        <v>225</v>
      </c>
      <c r="B51" s="143" t="s">
        <v>226</v>
      </c>
      <c r="C51" s="143"/>
      <c r="D51" s="143"/>
      <c r="E51" s="1266"/>
      <c r="F51" s="1265"/>
      <c r="G51" s="143"/>
      <c r="H51" s="143"/>
      <c r="I51" s="143"/>
      <c r="J51" s="143"/>
      <c r="K51" s="143"/>
      <c r="L51" s="338"/>
      <c r="M51" s="749"/>
      <c r="N51" s="749"/>
      <c r="P51" s="102"/>
      <c r="Q51" s="745"/>
      <c r="R51" s="102"/>
      <c r="S51" s="750"/>
      <c r="T51" s="752" t="s">
        <v>414</v>
      </c>
      <c r="U51" s="311"/>
      <c r="V51" s="311"/>
      <c r="W51" s="311"/>
      <c r="X51" s="311"/>
      <c r="Y51" s="311"/>
      <c r="Z51" s="311"/>
      <c r="AA51" s="311"/>
      <c r="AB51" s="311"/>
      <c r="AC51" s="311"/>
      <c r="AD51" s="311"/>
      <c r="AE51" s="311"/>
      <c r="AF51" s="311"/>
      <c r="AG51" s="311"/>
      <c r="AH51" s="311"/>
      <c r="AI51" s="311"/>
      <c r="AJ51" s="311"/>
      <c r="AK51" s="311"/>
      <c r="AM51" s="69"/>
      <c r="AN51" s="69" t="str">
        <f t="shared" si="1"/>
        <v>Добавить централизованную систему для дифференциации</v>
      </c>
      <c r="AO51" s="69"/>
      <c r="AP51" s="69"/>
    </row>
    <row r="52" spans="1:42" s="68" customFormat="1" ht="0" hidden="1" customHeight="1">
      <c r="A52" s="143" t="s">
        <v>225</v>
      </c>
      <c r="B52" s="143"/>
      <c r="C52" s="143"/>
      <c r="D52" s="143"/>
      <c r="E52" s="1265"/>
      <c r="F52" s="143"/>
      <c r="G52" s="143"/>
      <c r="H52" s="143"/>
      <c r="I52" s="143"/>
      <c r="J52" s="143"/>
      <c r="K52" s="143"/>
      <c r="L52" s="338"/>
      <c r="M52" s="749"/>
      <c r="N52" s="749"/>
      <c r="P52" s="102"/>
      <c r="Q52" s="745"/>
      <c r="R52" s="102"/>
      <c r="S52" s="750"/>
      <c r="T52" s="752" t="s">
        <v>415</v>
      </c>
      <c r="U52" s="311"/>
      <c r="V52" s="311"/>
      <c r="W52" s="311"/>
      <c r="X52" s="311"/>
      <c r="Y52" s="311"/>
      <c r="Z52" s="311"/>
      <c r="AA52" s="311"/>
      <c r="AB52" s="311"/>
      <c r="AC52" s="311"/>
      <c r="AD52" s="311"/>
      <c r="AE52" s="311"/>
      <c r="AF52" s="311"/>
      <c r="AG52" s="311"/>
      <c r="AH52" s="311"/>
      <c r="AI52" s="311"/>
      <c r="AJ52" s="311"/>
      <c r="AK52" s="311"/>
      <c r="AM52" s="69"/>
      <c r="AN52" s="69" t="str">
        <f t="shared" si="1"/>
        <v>Добавить территорию для дифференциации</v>
      </c>
      <c r="AO52" s="69"/>
      <c r="AP52" s="69"/>
    </row>
    <row r="53" spans="1:42" s="68" customFormat="1" ht="0" hidden="1" customHeight="1">
      <c r="A53" s="143"/>
      <c r="B53" s="143"/>
      <c r="C53" s="143"/>
      <c r="D53" s="143"/>
      <c r="E53" s="143"/>
      <c r="F53" s="143"/>
      <c r="G53" s="143"/>
      <c r="H53" s="143"/>
      <c r="I53" s="143"/>
      <c r="J53" s="143"/>
      <c r="K53" s="143"/>
      <c r="L53" s="338"/>
      <c r="M53" s="749"/>
      <c r="N53" s="749"/>
      <c r="P53" s="102"/>
      <c r="Q53" s="745"/>
      <c r="R53" s="102"/>
      <c r="S53" s="750"/>
      <c r="T53" s="752" t="s">
        <v>447</v>
      </c>
      <c r="U53" s="311"/>
      <c r="V53" s="311"/>
      <c r="W53" s="311"/>
      <c r="X53" s="311"/>
      <c r="Y53" s="311"/>
      <c r="Z53" s="311"/>
      <c r="AA53" s="311"/>
      <c r="AB53" s="311"/>
      <c r="AC53" s="311"/>
      <c r="AD53" s="311"/>
      <c r="AE53" s="311"/>
      <c r="AF53" s="311"/>
      <c r="AG53" s="311"/>
      <c r="AH53" s="311"/>
      <c r="AI53" s="311"/>
      <c r="AJ53" s="311"/>
      <c r="AK53" s="311"/>
      <c r="AM53" s="69"/>
      <c r="AN53" s="69" t="str">
        <f t="shared" si="1"/>
        <v>Добавить наименование тарифа</v>
      </c>
      <c r="AO53" s="69"/>
      <c r="AP53" s="69"/>
    </row>
    <row r="54" spans="1:42" ht="11.25" customHeight="1">
      <c r="M54" s="63"/>
      <c r="N54" s="63"/>
      <c r="O54" s="63"/>
      <c r="P54" s="12"/>
      <c r="Q54" s="12"/>
      <c r="R54" s="12"/>
      <c r="S54" s="12"/>
      <c r="AL54" s="12"/>
      <c r="AM54" s="12"/>
      <c r="AN54" s="12"/>
      <c r="AO54" s="12"/>
      <c r="AP54" s="12"/>
    </row>
    <row r="55" spans="1:42" ht="14.25" customHeight="1">
      <c r="O55" s="63"/>
      <c r="S55" s="196"/>
      <c r="T55" s="1285"/>
      <c r="U55" s="1285"/>
      <c r="V55" s="1285"/>
      <c r="W55" s="1285"/>
      <c r="X55" s="1285"/>
      <c r="Y55" s="1285"/>
      <c r="Z55" s="1285"/>
      <c r="AA55" s="1285"/>
      <c r="AB55" s="1285"/>
      <c r="AC55" s="1285"/>
      <c r="AD55" s="1285"/>
      <c r="AE55" s="1285"/>
      <c r="AF55" s="1285"/>
      <c r="AG55" s="1285"/>
      <c r="AH55" s="1285"/>
      <c r="AI55" s="1285"/>
      <c r="AJ55" s="1285"/>
      <c r="AK55" s="1285"/>
    </row>
    <row r="56" spans="1:42" ht="14.25" customHeight="1">
      <c r="O56" s="63"/>
    </row>
    <row r="57" spans="1:42" ht="14.25" customHeight="1">
      <c r="O57" s="63"/>
      <c r="S57" s="196"/>
      <c r="T57" s="1285"/>
      <c r="U57" s="1285"/>
      <c r="V57" s="1285"/>
      <c r="W57" s="1285"/>
      <c r="X57" s="1285"/>
      <c r="Y57" s="1285"/>
      <c r="Z57" s="1285"/>
      <c r="AA57" s="1285"/>
      <c r="AB57" s="1285"/>
      <c r="AC57" s="1285"/>
      <c r="AD57" s="1285"/>
      <c r="AE57" s="1285"/>
      <c r="AF57" s="1285"/>
      <c r="AG57" s="1285"/>
      <c r="AH57" s="1285"/>
      <c r="AI57" s="1285"/>
      <c r="AJ57" s="1285"/>
      <c r="AK57" s="128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FB5A8-AD94-7414-9E26-EB48C8CF40D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299" hidden="1" customWidth="1"/>
    <col min="13" max="14" width="12.28515625" style="497" hidden="1" customWidth="1"/>
    <col min="15" max="15" width="23.42578125" style="497" hidden="1" customWidth="1"/>
    <col min="16" max="16" width="3.7109375" style="34" customWidth="1"/>
    <col min="17" max="18" width="3.7109375" style="30" customWidth="1"/>
    <col min="19" max="19" width="12.7109375" style="334" customWidth="1"/>
    <col min="20" max="20" width="35.7109375" style="12" customWidth="1"/>
    <col min="21" max="21" width="0.140625" style="12" customWidth="1"/>
    <col min="22" max="24" width="24.7109375" style="12" hidden="1" customWidth="1"/>
    <col min="25" max="25" width="11.7109375" style="12" hidden="1" customWidth="1"/>
    <col min="26" max="26" width="3.7109375" style="12" hidden="1" customWidth="1"/>
    <col min="27" max="27" width="11.7109375" style="12" hidden="1" customWidth="1"/>
    <col min="28" max="28" width="8.5703125" style="12" hidden="1" customWidth="1"/>
    <col min="29" max="31" width="24.7109375" style="12" customWidth="1"/>
    <col min="32" max="32" width="11.7109375" style="12" customWidth="1"/>
    <col min="33" max="33" width="3.7109375" style="12" customWidth="1"/>
    <col min="34" max="34" width="11.7109375" style="12" customWidth="1"/>
    <col min="35" max="35" width="8.5703125" style="12" hidden="1" customWidth="1"/>
    <col min="36" max="36" width="4.7109375" style="12" customWidth="1"/>
    <col min="37" max="37" width="115.7109375" style="12" customWidth="1"/>
    <col min="38" max="39" width="10.5703125" style="68"/>
    <col min="40" max="40" width="11.140625" style="68" customWidth="1"/>
    <col min="41" max="42" width="10.5703125" style="68"/>
  </cols>
  <sheetData>
    <row r="1" spans="1:42" ht="14.25" hidden="1" customHeight="1"/>
    <row r="2" spans="1:42" ht="23.25" hidden="1" customHeight="1">
      <c r="A2" s="759"/>
      <c r="B2" s="759"/>
      <c r="C2" s="759"/>
      <c r="D2" s="759"/>
      <c r="E2" s="1265">
        <v>1</v>
      </c>
      <c r="F2" s="759"/>
      <c r="G2" s="759"/>
      <c r="H2" s="759"/>
      <c r="I2" s="759"/>
      <c r="J2" s="759"/>
      <c r="K2" s="759"/>
      <c r="L2" s="760"/>
      <c r="M2" s="417"/>
      <c r="N2" s="417"/>
      <c r="O2" s="417"/>
      <c r="Q2" s="35"/>
      <c r="R2" s="205"/>
      <c r="S2" s="698" t="e">
        <f>INDEX(PT_DIFFERENTIATION_NUM_NTAR,MATCH(A2,PT_DIFFERENTIATION_NTAR_ID,0))</f>
        <v>#N/A</v>
      </c>
      <c r="T2" s="67" t="s">
        <v>124</v>
      </c>
      <c r="U2" s="169"/>
      <c r="V2" s="1251"/>
      <c r="W2" s="1252"/>
      <c r="X2" s="1252"/>
      <c r="Y2" s="1252"/>
      <c r="Z2" s="1252"/>
      <c r="AA2" s="1252"/>
      <c r="AB2" s="1253"/>
      <c r="AC2" s="1251" t="e">
        <f>INDEX(PT_DIFFERENTIATION_NTAR,MATCH(A2,PT_DIFFERENTIATION_NTAR_ID,0))</f>
        <v>#N/A</v>
      </c>
      <c r="AD2" s="1252"/>
      <c r="AE2" s="1252"/>
      <c r="AF2" s="1252"/>
      <c r="AG2" s="1252"/>
      <c r="AH2" s="1252"/>
      <c r="AI2" s="1252"/>
      <c r="AJ2" s="1253"/>
      <c r="AK2"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row>
    <row r="3" spans="1:42" ht="23.25" hidden="1" customHeight="1">
      <c r="A3" s="759"/>
      <c r="B3" s="759"/>
      <c r="C3" s="759"/>
      <c r="D3" s="759"/>
      <c r="E3" s="1266"/>
      <c r="F3" s="1265">
        <v>1</v>
      </c>
      <c r="G3" s="759"/>
      <c r="H3" s="759"/>
      <c r="I3" s="759"/>
      <c r="J3" s="759"/>
      <c r="K3" s="759"/>
      <c r="L3" s="760"/>
      <c r="M3" s="417"/>
      <c r="N3" s="417"/>
      <c r="O3" s="417"/>
      <c r="P3" s="59"/>
      <c r="Q3" s="202"/>
      <c r="R3" s="203"/>
      <c r="S3" s="698" t="e">
        <f>INDEX(PT_DIFFERENTIATION_NUM_TER,MATCH(B3,PT_DIFFERENTIATION_TER_ID,0))</f>
        <v>#N/A</v>
      </c>
      <c r="T3" s="175" t="s">
        <v>396</v>
      </c>
      <c r="U3" s="169"/>
      <c r="V3" s="1251"/>
      <c r="W3" s="1252"/>
      <c r="X3" s="1252"/>
      <c r="Y3" s="1252"/>
      <c r="Z3" s="1252"/>
      <c r="AA3" s="1252"/>
      <c r="AB3" s="1253"/>
      <c r="AC3" s="1251" t="e">
        <f>INDEX(PT_DIFFERENTIATION_TER,MATCH(B3,PT_DIFFERENTIATION_TER_ID,0))</f>
        <v>#N/A</v>
      </c>
      <c r="AD3" s="1252"/>
      <c r="AE3" s="1252"/>
      <c r="AF3" s="1252"/>
      <c r="AG3" s="1252"/>
      <c r="AH3" s="1252"/>
      <c r="AI3" s="1252"/>
      <c r="AJ3" s="1253"/>
      <c r="AK3" s="718" t="s">
        <v>397</v>
      </c>
      <c r="AM3" s="69"/>
      <c r="AN3" s="69" t="str">
        <f t="shared" si="0"/>
        <v>Территория действия тарифа</v>
      </c>
      <c r="AO3" s="69"/>
      <c r="AP3" s="69"/>
    </row>
    <row r="4" spans="1:42" ht="23.25" hidden="1" customHeight="1">
      <c r="A4" s="759"/>
      <c r="B4" s="759"/>
      <c r="C4" s="759"/>
      <c r="D4" s="759"/>
      <c r="E4" s="1266"/>
      <c r="F4" s="1266"/>
      <c r="G4" s="1265">
        <v>1</v>
      </c>
      <c r="H4" s="759"/>
      <c r="I4" s="759"/>
      <c r="J4" s="759"/>
      <c r="K4" s="759"/>
      <c r="L4" s="760"/>
      <c r="M4" s="417"/>
      <c r="N4" s="417"/>
      <c r="O4" s="417"/>
      <c r="P4" s="204"/>
      <c r="Q4" s="202"/>
      <c r="R4" s="203"/>
      <c r="S4" s="698" t="e">
        <f>INDEX(PT_DIFFERENTIATION_NUM_CS,MATCH(C4,PT_DIFFERENTIATION_CS_ID,0))</f>
        <v>#N/A</v>
      </c>
      <c r="T4" s="176" t="s">
        <v>480</v>
      </c>
      <c r="U4" s="169"/>
      <c r="V4" s="1251"/>
      <c r="W4" s="1252"/>
      <c r="X4" s="1252"/>
      <c r="Y4" s="1252"/>
      <c r="Z4" s="1252"/>
      <c r="AA4" s="1252"/>
      <c r="AB4" s="1253"/>
      <c r="AC4" s="1251" t="e">
        <f>INDEX(PT_DIFFERENTIATION_CS,MATCH(C4,PT_DIFFERENTIATION_CS_ID,0))</f>
        <v>#N/A</v>
      </c>
      <c r="AD4" s="1252"/>
      <c r="AE4" s="1252"/>
      <c r="AF4" s="1252"/>
      <c r="AG4" s="1252"/>
      <c r="AH4" s="1252"/>
      <c r="AI4" s="1252"/>
      <c r="AJ4" s="1253"/>
      <c r="AK4" s="718" t="s">
        <v>481</v>
      </c>
      <c r="AM4" s="69"/>
      <c r="AN4" s="69" t="str">
        <f t="shared" si="0"/>
        <v>Наименование централизованной системы холодного водоснабжения</v>
      </c>
      <c r="AO4" s="69"/>
      <c r="AP4" s="69"/>
    </row>
    <row r="5" spans="1:42" ht="23.25" hidden="1" customHeight="1">
      <c r="A5" s="759"/>
      <c r="B5" s="759"/>
      <c r="C5" s="759"/>
      <c r="D5" s="759"/>
      <c r="E5" s="1266"/>
      <c r="F5" s="1266"/>
      <c r="G5" s="1266"/>
      <c r="H5" s="1266"/>
      <c r="I5" s="1263" t="e">
        <f>S4&amp;".1"</f>
        <v>#N/A</v>
      </c>
      <c r="J5" s="759"/>
      <c r="K5" s="759"/>
      <c r="L5" s="760"/>
      <c r="P5" s="1264">
        <v>1</v>
      </c>
      <c r="Q5" s="120"/>
      <c r="R5" s="206"/>
      <c r="S5" s="698" t="e">
        <f>$I5</f>
        <v>#N/A</v>
      </c>
      <c r="T5" s="162" t="s">
        <v>482</v>
      </c>
      <c r="U5" s="169"/>
      <c r="V5" s="1331"/>
      <c r="W5" s="1332"/>
      <c r="X5" s="1332"/>
      <c r="Y5" s="1332"/>
      <c r="Z5" s="1332"/>
      <c r="AA5" s="1332"/>
      <c r="AB5" s="1333"/>
      <c r="AC5" s="1334"/>
      <c r="AD5" s="1335"/>
      <c r="AE5" s="1335"/>
      <c r="AF5" s="1335"/>
      <c r="AG5" s="1335"/>
      <c r="AH5" s="1335"/>
      <c r="AI5" s="1335"/>
      <c r="AJ5" s="1336"/>
      <c r="AK5" s="718" t="s">
        <v>483</v>
      </c>
      <c r="AM5" s="69"/>
      <c r="AN5" s="69" t="str">
        <f t="shared" si="0"/>
        <v>Наименование признака дифференциации</v>
      </c>
      <c r="AO5" s="69"/>
      <c r="AP5" s="69"/>
    </row>
    <row r="6" spans="1:42" ht="23.25" hidden="1" customHeight="1">
      <c r="A6" s="759"/>
      <c r="B6" s="759"/>
      <c r="C6" s="759"/>
      <c r="D6" s="759"/>
      <c r="E6" s="1266"/>
      <c r="F6" s="1266"/>
      <c r="G6" s="1266"/>
      <c r="H6" s="1266"/>
      <c r="I6" s="1286"/>
      <c r="J6" s="1263" t="e">
        <f>I5&amp;".1"</f>
        <v>#N/A</v>
      </c>
      <c r="K6" s="759"/>
      <c r="L6" s="760" t="s">
        <v>405</v>
      </c>
      <c r="P6" s="1264"/>
      <c r="Q6" s="1264">
        <v>1</v>
      </c>
      <c r="R6" s="207"/>
      <c r="S6" s="698" t="e">
        <f>$J6</f>
        <v>#N/A</v>
      </c>
      <c r="T6" s="163" t="s">
        <v>406</v>
      </c>
      <c r="U6" s="169"/>
      <c r="V6" s="1254"/>
      <c r="W6" s="1255"/>
      <c r="X6" s="1255"/>
      <c r="Y6" s="1255"/>
      <c r="Z6" s="1255"/>
      <c r="AA6" s="1255"/>
      <c r="AB6" s="1256"/>
      <c r="AC6" s="1254"/>
      <c r="AD6" s="1255"/>
      <c r="AE6" s="1255"/>
      <c r="AF6" s="1255"/>
      <c r="AG6" s="1255"/>
      <c r="AH6" s="1255"/>
      <c r="AI6" s="1255"/>
      <c r="AJ6" s="1256"/>
      <c r="AK6" s="743" t="s">
        <v>484</v>
      </c>
      <c r="AM6" s="69"/>
      <c r="AN6" s="69" t="str">
        <f t="shared" si="0"/>
        <v>Группа потребителей</v>
      </c>
      <c r="AO6" s="69"/>
      <c r="AP6" s="69"/>
    </row>
    <row r="7" spans="1:42" ht="23.25" hidden="1" customHeight="1">
      <c r="A7" s="759"/>
      <c r="B7" s="759"/>
      <c r="C7" s="759"/>
      <c r="D7" s="759"/>
      <c r="E7" s="1266"/>
      <c r="F7" s="1266"/>
      <c r="G7" s="1266"/>
      <c r="H7" s="1266"/>
      <c r="I7" s="1286"/>
      <c r="J7" s="1286"/>
      <c r="K7" s="1263" t="e">
        <f>J6&amp;".1"</f>
        <v>#N/A</v>
      </c>
      <c r="L7" s="760"/>
      <c r="P7" s="1264"/>
      <c r="Q7" s="1264"/>
      <c r="R7" s="207">
        <v>1</v>
      </c>
      <c r="S7" s="698" t="e">
        <f>$K7</f>
        <v>#N/A</v>
      </c>
      <c r="T7" s="802"/>
      <c r="U7" s="169"/>
      <c r="V7" s="304"/>
      <c r="W7" s="304"/>
      <c r="X7" s="717"/>
      <c r="Y7" s="1268"/>
      <c r="Z7" s="1127" t="s">
        <v>62</v>
      </c>
      <c r="AA7" s="1268"/>
      <c r="AB7" s="1127" t="s">
        <v>62</v>
      </c>
      <c r="AC7" s="304"/>
      <c r="AD7" s="304"/>
      <c r="AE7" s="717"/>
      <c r="AF7" s="1268"/>
      <c r="AG7" s="1127" t="s">
        <v>62</v>
      </c>
      <c r="AH7" s="1287"/>
      <c r="AI7" s="1127" t="s">
        <v>62</v>
      </c>
      <c r="AJ7" s="803"/>
      <c r="AK7" s="1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row>
    <row r="8" spans="1:42" ht="14.25" hidden="1" customHeight="1">
      <c r="A8" s="759"/>
      <c r="B8" s="759"/>
      <c r="C8" s="759"/>
      <c r="D8" s="759"/>
      <c r="E8" s="1266"/>
      <c r="F8" s="1266"/>
      <c r="G8" s="1266"/>
      <c r="H8" s="1266"/>
      <c r="I8" s="1286"/>
      <c r="J8" s="1286"/>
      <c r="K8" s="1263"/>
      <c r="L8" s="760"/>
      <c r="P8" s="1264"/>
      <c r="Q8" s="1264"/>
      <c r="R8" s="207"/>
      <c r="S8" s="65"/>
      <c r="T8" s="169"/>
      <c r="U8" s="169"/>
      <c r="V8" s="189"/>
      <c r="W8" s="189"/>
      <c r="X8" s="190" t="str">
        <f>Y7&amp;"-"&amp;AA7</f>
        <v>-</v>
      </c>
      <c r="Y8" s="1269"/>
      <c r="Z8" s="1127"/>
      <c r="AA8" s="1269"/>
      <c r="AB8" s="1127"/>
      <c r="AC8" s="189"/>
      <c r="AD8" s="189"/>
      <c r="AE8" s="190" t="str">
        <f>AF7&amp;"-"&amp;AH7</f>
        <v>-</v>
      </c>
      <c r="AF8" s="1269"/>
      <c r="AG8" s="1127"/>
      <c r="AH8" s="1288"/>
      <c r="AI8" s="1127"/>
      <c r="AJ8" s="379"/>
      <c r="AK8" s="1330"/>
      <c r="AM8" s="69"/>
      <c r="AN8" s="69" t="str">
        <f t="shared" si="0"/>
        <v/>
      </c>
      <c r="AO8" s="69"/>
      <c r="AP8" s="69"/>
    </row>
    <row r="9" spans="1:42" ht="21" hidden="1" customHeight="1">
      <c r="A9" s="759"/>
      <c r="B9" s="759"/>
      <c r="C9" s="759"/>
      <c r="D9" s="759"/>
      <c r="E9" s="1266"/>
      <c r="F9" s="1266"/>
      <c r="G9" s="1266"/>
      <c r="H9" s="1266"/>
      <c r="I9" s="1286"/>
      <c r="J9" s="1263"/>
      <c r="K9" s="759"/>
      <c r="L9" s="760"/>
      <c r="P9" s="1264"/>
      <c r="Q9" s="1264"/>
      <c r="R9" s="206"/>
      <c r="S9" s="732"/>
      <c r="T9" s="164" t="s">
        <v>485</v>
      </c>
      <c r="U9" s="211"/>
      <c r="V9" s="211"/>
      <c r="W9" s="211"/>
      <c r="X9" s="211"/>
      <c r="Y9" s="211"/>
      <c r="Z9" s="211"/>
      <c r="AA9" s="211"/>
      <c r="AB9" s="211"/>
      <c r="AC9" s="211"/>
      <c r="AD9" s="211"/>
      <c r="AE9" s="211"/>
      <c r="AF9" s="211"/>
      <c r="AG9" s="211"/>
      <c r="AH9" s="211"/>
      <c r="AI9" s="211"/>
      <c r="AJ9" s="211"/>
      <c r="AK9" s="718" t="s">
        <v>486</v>
      </c>
      <c r="AM9" s="69"/>
      <c r="AN9" s="69" t="str">
        <f t="shared" si="0"/>
        <v>Добавить значение признака дифференциации</v>
      </c>
      <c r="AO9" s="69"/>
      <c r="AP9" s="69"/>
    </row>
    <row r="10" spans="1:42" ht="21" hidden="1" customHeight="1">
      <c r="A10" s="759"/>
      <c r="B10" s="759"/>
      <c r="C10" s="759"/>
      <c r="D10" s="759"/>
      <c r="E10" s="1266"/>
      <c r="F10" s="1266"/>
      <c r="G10" s="1266"/>
      <c r="H10" s="1266"/>
      <c r="I10" s="1263"/>
      <c r="J10" s="759"/>
      <c r="K10" s="759"/>
      <c r="L10" s="760"/>
      <c r="P10" s="1264"/>
      <c r="Q10" s="120"/>
      <c r="R10" s="206"/>
      <c r="S10" s="732"/>
      <c r="T10" s="209" t="s">
        <v>411</v>
      </c>
      <c r="U10" s="211"/>
      <c r="V10" s="211"/>
      <c r="W10" s="211"/>
      <c r="X10" s="211"/>
      <c r="Y10" s="211"/>
      <c r="Z10" s="211"/>
      <c r="AA10" s="211"/>
      <c r="AB10" s="210"/>
      <c r="AC10" s="211"/>
      <c r="AD10" s="211"/>
      <c r="AE10" s="211"/>
      <c r="AF10" s="211"/>
      <c r="AG10" s="211"/>
      <c r="AH10" s="211"/>
      <c r="AI10" s="210"/>
      <c r="AJ10" s="211"/>
      <c r="AK10" s="804"/>
      <c r="AM10" s="69"/>
      <c r="AN10" s="69" t="str">
        <f t="shared" si="0"/>
        <v>Добавить группу потребителей</v>
      </c>
      <c r="AO10" s="69"/>
      <c r="AP10" s="69"/>
    </row>
    <row r="11" spans="1:42" ht="21" hidden="1" customHeight="1">
      <c r="A11" s="759"/>
      <c r="B11" s="759"/>
      <c r="C11" s="759"/>
      <c r="D11" s="759"/>
      <c r="E11" s="1266"/>
      <c r="F11" s="1266"/>
      <c r="G11" s="1266"/>
      <c r="H11" s="1265"/>
      <c r="I11" s="759"/>
      <c r="J11" s="759"/>
      <c r="K11" s="759"/>
      <c r="L11" s="760"/>
      <c r="M11" s="417"/>
      <c r="N11" s="417"/>
      <c r="O11" s="63"/>
      <c r="P11" s="35"/>
      <c r="Q11" s="214"/>
      <c r="R11" s="205"/>
      <c r="S11" s="732"/>
      <c r="T11" s="105" t="s">
        <v>487</v>
      </c>
      <c r="U11" s="211"/>
      <c r="V11" s="211"/>
      <c r="W11" s="211"/>
      <c r="X11" s="211"/>
      <c r="Y11" s="211"/>
      <c r="Z11" s="211"/>
      <c r="AA11" s="211"/>
      <c r="AB11" s="210"/>
      <c r="AC11" s="211"/>
      <c r="AD11" s="211"/>
      <c r="AE11" s="211"/>
      <c r="AF11" s="211"/>
      <c r="AG11" s="211"/>
      <c r="AH11" s="211"/>
      <c r="AI11" s="210"/>
      <c r="AJ11" s="211"/>
      <c r="AK11" s="172"/>
      <c r="AM11" s="69"/>
      <c r="AN11" s="69" t="str">
        <f t="shared" si="0"/>
        <v>Добавить наименование признака дифференциации</v>
      </c>
      <c r="AO11" s="69"/>
      <c r="AP11" s="69"/>
    </row>
    <row r="12" spans="1:42" s="68" customFormat="1" ht="14.25" hidden="1" customHeight="1">
      <c r="A12" s="143"/>
      <c r="B12" s="143"/>
      <c r="C12" s="143"/>
      <c r="D12" s="143"/>
      <c r="E12" s="1266"/>
      <c r="F12" s="1265"/>
      <c r="G12" s="143"/>
      <c r="H12" s="143"/>
      <c r="I12" s="143"/>
      <c r="J12" s="143"/>
      <c r="K12" s="143"/>
      <c r="L12" s="338"/>
      <c r="M12" s="749"/>
      <c r="N12" s="749"/>
      <c r="P12" s="102"/>
      <c r="Q12" s="745"/>
      <c r="R12" s="102"/>
      <c r="S12" s="750"/>
      <c r="T12" s="752" t="s">
        <v>414</v>
      </c>
      <c r="U12" s="311"/>
      <c r="V12" s="311"/>
      <c r="W12" s="311"/>
      <c r="X12" s="311"/>
      <c r="Y12" s="311"/>
      <c r="Z12" s="311"/>
      <c r="AA12" s="311"/>
      <c r="AB12" s="311"/>
      <c r="AC12" s="311"/>
      <c r="AD12" s="311"/>
      <c r="AE12" s="311"/>
      <c r="AF12" s="311"/>
      <c r="AG12" s="311"/>
      <c r="AH12" s="311"/>
      <c r="AI12" s="311"/>
      <c r="AJ12" s="311"/>
      <c r="AK12" s="311"/>
      <c r="AM12" s="69"/>
      <c r="AN12" s="69" t="str">
        <f t="shared" si="0"/>
        <v>Добавить централизованную систему для дифференциации</v>
      </c>
      <c r="AO12" s="69"/>
      <c r="AP12" s="69"/>
    </row>
    <row r="13" spans="1:42" s="68" customFormat="1" ht="14.25" hidden="1" customHeight="1">
      <c r="A13" s="143"/>
      <c r="B13" s="143"/>
      <c r="C13" s="143"/>
      <c r="D13" s="143"/>
      <c r="E13" s="1265"/>
      <c r="F13" s="143"/>
      <c r="G13" s="143"/>
      <c r="H13" s="143"/>
      <c r="I13" s="143"/>
      <c r="J13" s="143"/>
      <c r="K13" s="143"/>
      <c r="L13" s="338"/>
      <c r="M13" s="749"/>
      <c r="N13" s="749"/>
      <c r="P13" s="102"/>
      <c r="Q13" s="745"/>
      <c r="R13" s="102"/>
      <c r="S13" s="750"/>
      <c r="T13" s="752" t="s">
        <v>415</v>
      </c>
      <c r="U13" s="311"/>
      <c r="V13" s="311"/>
      <c r="W13" s="311"/>
      <c r="X13" s="311"/>
      <c r="Y13" s="311"/>
      <c r="Z13" s="311"/>
      <c r="AA13" s="311"/>
      <c r="AB13" s="311"/>
      <c r="AC13" s="311"/>
      <c r="AD13" s="311"/>
      <c r="AE13" s="311"/>
      <c r="AF13" s="311"/>
      <c r="AG13" s="311"/>
      <c r="AH13" s="311"/>
      <c r="AI13" s="311"/>
      <c r="AJ13" s="311"/>
      <c r="AK13" s="311"/>
      <c r="AM13" s="69"/>
      <c r="AN13" s="69" t="str">
        <f t="shared" si="0"/>
        <v>Добавить территорию для дифференциации</v>
      </c>
      <c r="AO13" s="69"/>
      <c r="AP13" s="69"/>
    </row>
    <row r="14" spans="1:42" ht="14.25" hidden="1" customHeight="1"/>
    <row r="15" spans="1:42" ht="14.25" hidden="1" customHeight="1">
      <c r="AC15" s="359"/>
      <c r="AD15" s="359"/>
      <c r="AE15" s="758"/>
      <c r="AF15" s="1270"/>
      <c r="AG15" s="1271" t="s">
        <v>62</v>
      </c>
      <c r="AH15" s="1270"/>
      <c r="AI15" s="1271" t="s">
        <v>62</v>
      </c>
    </row>
    <row r="16" spans="1:42" ht="14.25" hidden="1" customHeight="1">
      <c r="AC16" s="359"/>
      <c r="AD16" s="359"/>
      <c r="AE16" s="190" t="str">
        <f>AF15&amp;"-"&amp;AH15</f>
        <v>-</v>
      </c>
      <c r="AF16" s="1271"/>
      <c r="AG16" s="1271"/>
      <c r="AH16" s="1271"/>
      <c r="AI16" s="1271"/>
    </row>
    <row r="17" spans="1:42" ht="14.25" hidden="1" customHeight="1"/>
    <row r="18" spans="1:42" s="63" customFormat="1" ht="22.5" hidden="1" customHeight="1">
      <c r="L18" s="299"/>
      <c r="M18" s="497"/>
      <c r="N18" s="497"/>
      <c r="O18" s="761" t="s">
        <v>416</v>
      </c>
      <c r="P18" s="497"/>
      <c r="Q18" s="762"/>
      <c r="R18" s="762"/>
      <c r="S18" s="417"/>
      <c r="Y18" s="761"/>
      <c r="AA18" s="761"/>
      <c r="AF18" s="761"/>
      <c r="AH18" s="761"/>
      <c r="AL18" s="68"/>
      <c r="AM18" s="68"/>
      <c r="AN18" s="68"/>
      <c r="AO18" s="68"/>
      <c r="AP18" s="68"/>
    </row>
    <row r="19" spans="1:42" s="63" customFormat="1" ht="14.25" hidden="1" customHeight="1">
      <c r="L19" s="299"/>
      <c r="M19" s="497"/>
      <c r="N19" s="497"/>
      <c r="O19" s="497"/>
      <c r="P19" s="497"/>
      <c r="Q19" s="762"/>
      <c r="R19" s="762"/>
      <c r="S19" s="417"/>
      <c r="AL19" s="68"/>
      <c r="AM19" s="68"/>
      <c r="AN19" s="68"/>
      <c r="AO19" s="68"/>
      <c r="AP19" s="68"/>
    </row>
    <row r="20" spans="1:42" s="63" customFormat="1" ht="12" hidden="1" customHeight="1">
      <c r="L20" s="299"/>
      <c r="M20" s="497"/>
      <c r="N20" s="497"/>
      <c r="O20" s="760" t="s">
        <v>417</v>
      </c>
      <c r="P20" s="497"/>
      <c r="Q20" s="805"/>
      <c r="R20" s="805"/>
      <c r="S20" s="417"/>
      <c r="T20" s="63" t="s">
        <v>418</v>
      </c>
      <c r="Z20" s="81" t="s">
        <v>419</v>
      </c>
      <c r="AB20" s="81" t="s">
        <v>420</v>
      </c>
      <c r="AC20" s="63" t="s">
        <v>418</v>
      </c>
      <c r="AG20" s="81" t="s">
        <v>421</v>
      </c>
      <c r="AI20" s="81" t="s">
        <v>420</v>
      </c>
    </row>
    <row r="21" spans="1:42" ht="14.25" hidden="1" customHeight="1">
      <c r="O21" s="760"/>
    </row>
    <row r="22" spans="1:42" ht="14.25" hidden="1" customHeight="1">
      <c r="O22" s="760"/>
    </row>
    <row r="23" spans="1:42" ht="14.25" customHeight="1">
      <c r="Q23" s="29"/>
      <c r="R23" s="29"/>
      <c r="S23" s="729"/>
      <c r="T23" s="11"/>
      <c r="U23" s="11"/>
    </row>
    <row r="24" spans="1:42" ht="14.25" customHeight="1">
      <c r="Q24" s="29"/>
      <c r="R24" s="29"/>
      <c r="S24" s="1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49"/>
      <c r="U24" s="1249"/>
      <c r="V24" s="1249"/>
      <c r="W24" s="1249"/>
      <c r="X24" s="1249"/>
      <c r="Y24" s="1249"/>
      <c r="Z24" s="1249"/>
      <c r="AA24" s="1249"/>
      <c r="AB24" s="1249"/>
      <c r="AC24" s="1249"/>
      <c r="AD24" s="1249"/>
      <c r="AE24" s="1249"/>
      <c r="AF24" s="1249"/>
      <c r="AG24" s="1249"/>
      <c r="AH24" s="1249"/>
      <c r="AI24" s="60"/>
    </row>
    <row r="25" spans="1:42" ht="14.25" customHeight="1">
      <c r="Q25" s="29"/>
      <c r="R25" s="29"/>
      <c r="S25" s="1194" t="str">
        <f>IF(org=0,"Не определено",org)</f>
        <v>АО "ХТК"</v>
      </c>
      <c r="T25" s="1194"/>
      <c r="U25" s="1194"/>
      <c r="V25" s="1194"/>
      <c r="W25" s="1194"/>
      <c r="X25" s="1194"/>
      <c r="Y25" s="1194"/>
      <c r="Z25" s="1194"/>
      <c r="AA25" s="1194"/>
      <c r="AB25" s="1194"/>
      <c r="AC25" s="1194"/>
      <c r="AD25" s="1194"/>
      <c r="AE25" s="1194"/>
      <c r="AF25" s="1194"/>
      <c r="AG25" s="1194"/>
      <c r="AH25" s="1194"/>
      <c r="AI25" s="60"/>
    </row>
    <row r="26" spans="1:42" ht="14.25" hidden="1" customHeight="1">
      <c r="Q26" s="29"/>
      <c r="R26" s="29"/>
      <c r="S26" s="729"/>
      <c r="T26" s="11"/>
      <c r="U26" s="11"/>
      <c r="V26" s="187"/>
      <c r="W26" s="187"/>
      <c r="X26" s="187"/>
      <c r="Y26" s="187"/>
      <c r="Z26" s="187"/>
      <c r="AA26" s="187"/>
      <c r="AB26" s="187"/>
      <c r="AC26" s="187"/>
      <c r="AD26" s="187"/>
      <c r="AE26" s="187"/>
      <c r="AF26" s="187"/>
      <c r="AG26" s="187"/>
      <c r="AH26" s="187"/>
      <c r="AI26" s="187"/>
    </row>
    <row r="27" spans="1:42" s="36" customFormat="1" ht="25.5" hidden="1" customHeight="1">
      <c r="A27" s="81"/>
      <c r="B27" s="81"/>
      <c r="C27" s="81"/>
      <c r="D27" s="81"/>
      <c r="E27" s="81"/>
      <c r="F27" s="81"/>
      <c r="G27" s="81"/>
      <c r="H27" s="81"/>
      <c r="I27" s="81"/>
      <c r="J27" s="81"/>
      <c r="K27" s="81"/>
      <c r="L27" s="760"/>
      <c r="M27" s="81"/>
      <c r="N27" s="81"/>
      <c r="O27" s="81"/>
      <c r="S27" s="1257" t="s">
        <v>37</v>
      </c>
      <c r="T27" s="1257"/>
      <c r="U27" s="763"/>
      <c r="V27" s="1258" t="str">
        <f>IF(TITLE_NAME_OR_PR_CHANGE="",IF(TITLE_NAME_OR_PR="","",TITLE_NAME_OR_PR),TITLE_NAME_OR_PR_CHANGE)</f>
        <v/>
      </c>
      <c r="W27" s="1258"/>
      <c r="X27" s="1258"/>
      <c r="Y27" s="1258"/>
      <c r="Z27" s="1258"/>
      <c r="AA27" s="1258"/>
      <c r="AB27" s="12"/>
      <c r="AC27" s="1258" t="str">
        <f>IF(TITLE_NAME_OR_PR_CHANGE="",IF(TITLE_NAME_OR_PR="","",TITLE_NAME_OR_PR),TITLE_NAME_OR_PR_CHANGE)</f>
        <v/>
      </c>
      <c r="AD27" s="1258"/>
      <c r="AE27" s="1258"/>
      <c r="AF27" s="1258"/>
      <c r="AG27" s="1258"/>
      <c r="AH27" s="1258"/>
      <c r="AI27" s="12"/>
      <c r="AJ27" s="12"/>
      <c r="AK27" s="161"/>
      <c r="AL27" s="69"/>
      <c r="AM27" s="69"/>
      <c r="AN27" s="69"/>
      <c r="AO27" s="69"/>
      <c r="AP27" s="69"/>
    </row>
    <row r="28" spans="1:42" s="36" customFormat="1" ht="18.75" hidden="1" customHeight="1">
      <c r="A28" s="81"/>
      <c r="B28" s="81"/>
      <c r="C28" s="81"/>
      <c r="D28" s="81"/>
      <c r="E28" s="81"/>
      <c r="F28" s="81"/>
      <c r="G28" s="81"/>
      <c r="H28" s="81"/>
      <c r="I28" s="81"/>
      <c r="J28" s="81"/>
      <c r="K28" s="81"/>
      <c r="L28" s="760"/>
      <c r="M28" s="81"/>
      <c r="N28" s="81"/>
      <c r="O28" s="81"/>
      <c r="S28" s="1257" t="s">
        <v>422</v>
      </c>
      <c r="T28" s="1257"/>
      <c r="U28" s="763"/>
      <c r="V28" s="1267" t="str">
        <f>IF(TITLE_DATE_PR_CHANGE="",IF(TITLE_DATE_PR="","",TITLE_DATE_PR),TITLE_DATE_PR_CHANGE)</f>
        <v/>
      </c>
      <c r="W28" s="1267"/>
      <c r="X28" s="1267"/>
      <c r="Y28" s="1267"/>
      <c r="Z28" s="1267"/>
      <c r="AA28" s="1267"/>
      <c r="AB28" s="12"/>
      <c r="AC28" s="1267" t="str">
        <f>IF(TITLE_DATE_PR_CHANGE="",IF(TITLE_DATE_PR="","",TITLE_DATE_PR),TITLE_DATE_PR_CHANGE)</f>
        <v/>
      </c>
      <c r="AD28" s="1267"/>
      <c r="AE28" s="1267"/>
      <c r="AF28" s="1267"/>
      <c r="AG28" s="1267"/>
      <c r="AH28" s="1267"/>
      <c r="AI28" s="12"/>
      <c r="AJ28" s="12"/>
      <c r="AK28" s="161"/>
      <c r="AL28" s="69"/>
      <c r="AM28" s="69"/>
      <c r="AN28" s="69"/>
      <c r="AO28" s="69"/>
      <c r="AP28" s="69"/>
    </row>
    <row r="29" spans="1:42" s="36" customFormat="1" ht="18.75" hidden="1" customHeight="1">
      <c r="A29" s="81"/>
      <c r="B29" s="81"/>
      <c r="C29" s="81"/>
      <c r="D29" s="81"/>
      <c r="E29" s="81"/>
      <c r="F29" s="81"/>
      <c r="G29" s="81"/>
      <c r="H29" s="81"/>
      <c r="I29" s="81"/>
      <c r="J29" s="81"/>
      <c r="K29" s="81"/>
      <c r="L29" s="760"/>
      <c r="M29" s="81"/>
      <c r="N29" s="81"/>
      <c r="O29" s="81"/>
      <c r="S29" s="1257" t="s">
        <v>423</v>
      </c>
      <c r="T29" s="1257"/>
      <c r="U29" s="763"/>
      <c r="V29" s="1258" t="str">
        <f>IF(TITLE_NUMBER_PR_CHANGE="",IF(TITLE_NUMBER_PR="","",TITLE_NUMBER_PR),TITLE_NUMBER_PR_CHANGE)</f>
        <v/>
      </c>
      <c r="W29" s="1258"/>
      <c r="X29" s="1258"/>
      <c r="Y29" s="1258"/>
      <c r="Z29" s="1258"/>
      <c r="AA29" s="1258"/>
      <c r="AB29" s="12"/>
      <c r="AC29" s="1258" t="str">
        <f>IF(TITLE_NUMBER_PR_CHANGE="",IF(TITLE_NUMBER_PR="","",TITLE_NUMBER_PR),TITLE_NUMBER_PR_CHANGE)</f>
        <v/>
      </c>
      <c r="AD29" s="1258"/>
      <c r="AE29" s="1258"/>
      <c r="AF29" s="1258"/>
      <c r="AG29" s="1258"/>
      <c r="AH29" s="1258"/>
      <c r="AI29" s="12"/>
      <c r="AJ29" s="12"/>
      <c r="AK29" s="161"/>
      <c r="AL29" s="69"/>
      <c r="AM29" s="69"/>
      <c r="AN29" s="69"/>
      <c r="AO29" s="69"/>
      <c r="AP29" s="69"/>
    </row>
    <row r="30" spans="1:42" s="36" customFormat="1" ht="18.75" hidden="1" customHeight="1">
      <c r="A30" s="81"/>
      <c r="B30" s="81"/>
      <c r="C30" s="81"/>
      <c r="D30" s="81"/>
      <c r="E30" s="81"/>
      <c r="F30" s="81"/>
      <c r="G30" s="81"/>
      <c r="H30" s="81"/>
      <c r="I30" s="81"/>
      <c r="J30" s="81"/>
      <c r="K30" s="81"/>
      <c r="L30" s="760"/>
      <c r="M30" s="81"/>
      <c r="N30" s="81"/>
      <c r="O30" s="81"/>
      <c r="S30" s="1257" t="s">
        <v>38</v>
      </c>
      <c r="T30" s="1257"/>
      <c r="U30" s="763"/>
      <c r="V30" s="1258" t="str">
        <f>IF(TITLE_IST_PUB_CHANGE="",IF(TITLE_IST_PUB="","",TITLE_IST_PUB),TITLE_IST_PUB_CHANGE)</f>
        <v/>
      </c>
      <c r="W30" s="1258"/>
      <c r="X30" s="1258"/>
      <c r="Y30" s="1258"/>
      <c r="Z30" s="1258"/>
      <c r="AA30" s="1258"/>
      <c r="AB30" s="12"/>
      <c r="AC30" s="1258" t="str">
        <f>IF(TITLE_IST_PUB_CHANGE="",IF(TITLE_IST_PUB="","",TITLE_IST_PUB),TITLE_IST_PUB_CHANGE)</f>
        <v/>
      </c>
      <c r="AD30" s="1258"/>
      <c r="AE30" s="1258"/>
      <c r="AF30" s="1258"/>
      <c r="AG30" s="1258"/>
      <c r="AH30" s="1258"/>
      <c r="AI30" s="12"/>
      <c r="AJ30" s="12"/>
      <c r="AK30" s="161"/>
      <c r="AL30" s="69"/>
      <c r="AM30" s="69"/>
      <c r="AN30" s="69"/>
      <c r="AO30" s="69"/>
      <c r="AP30" s="69"/>
    </row>
    <row r="31" spans="1:42" ht="14.25" hidden="1" customHeight="1">
      <c r="Q31" s="29"/>
      <c r="R31" s="29"/>
      <c r="S31" s="729"/>
      <c r="T31" s="11"/>
      <c r="U31" s="11"/>
      <c r="V31" s="187"/>
      <c r="W31" s="187"/>
      <c r="X31" s="187"/>
      <c r="Y31" s="187"/>
      <c r="Z31" s="187"/>
      <c r="AA31" s="187"/>
      <c r="AB31" s="187"/>
      <c r="AC31" s="187"/>
      <c r="AD31" s="187"/>
      <c r="AE31" s="187"/>
      <c r="AF31" s="187"/>
      <c r="AG31" s="187"/>
      <c r="AH31" s="187"/>
      <c r="AI31" s="187"/>
    </row>
    <row r="32" spans="1:42" s="36" customFormat="1" ht="18.75" hidden="1" customHeight="1">
      <c r="A32" s="81"/>
      <c r="B32" s="81"/>
      <c r="C32" s="81"/>
      <c r="D32" s="81"/>
      <c r="E32" s="81"/>
      <c r="F32" s="81"/>
      <c r="G32" s="81"/>
      <c r="H32" s="81"/>
      <c r="I32" s="81"/>
      <c r="J32" s="81"/>
      <c r="K32" s="81"/>
      <c r="L32" s="760"/>
      <c r="M32" s="81"/>
      <c r="N32" s="81"/>
      <c r="O32" s="81"/>
      <c r="S32" s="1257" t="s">
        <v>424</v>
      </c>
      <c r="T32" s="1257"/>
      <c r="U32" s="763"/>
      <c r="V32" s="1267" t="str">
        <f>IF(TITLE_DATE_PR_CHANGE="",IF(TITLE_DATE_PR="","",TITLE_DATE_PR),TITLE_DATE_PR_CHANGE)</f>
        <v/>
      </c>
      <c r="W32" s="1267"/>
      <c r="X32" s="1267"/>
      <c r="Y32" s="1267"/>
      <c r="Z32" s="1267"/>
      <c r="AA32" s="1267"/>
      <c r="AB32" s="12"/>
      <c r="AC32" s="1267" t="str">
        <f>IF(TITLE_DATE_PR_CHANGE="",IF(TITLE_DATE_PR="","",TITLE_DATE_PR),TITLE_DATE_PR_CHANGE)</f>
        <v/>
      </c>
      <c r="AD32" s="1267"/>
      <c r="AE32" s="1267"/>
      <c r="AF32" s="1267"/>
      <c r="AG32" s="1267"/>
      <c r="AH32" s="1267"/>
      <c r="AI32" s="12"/>
      <c r="AJ32" s="12"/>
      <c r="AK32" s="161"/>
      <c r="AL32" s="69"/>
      <c r="AM32" s="69"/>
      <c r="AN32" s="69"/>
      <c r="AO32" s="69"/>
      <c r="AP32" s="69"/>
    </row>
    <row r="33" spans="1:42" s="36" customFormat="1" ht="18.75" hidden="1" customHeight="1">
      <c r="A33" s="81"/>
      <c r="B33" s="81"/>
      <c r="C33" s="81"/>
      <c r="D33" s="81"/>
      <c r="E33" s="81"/>
      <c r="F33" s="81"/>
      <c r="G33" s="81"/>
      <c r="H33" s="81"/>
      <c r="I33" s="81"/>
      <c r="J33" s="81"/>
      <c r="K33" s="81"/>
      <c r="L33" s="760"/>
      <c r="M33" s="81"/>
      <c r="N33" s="81"/>
      <c r="O33" s="81"/>
      <c r="S33" s="1257" t="s">
        <v>425</v>
      </c>
      <c r="T33" s="1257"/>
      <c r="U33" s="763"/>
      <c r="V33" s="1258" t="str">
        <f>IF(TITLE_NUMBER_PR_CHANGE="",IF(TITLE_NUMBER_PR="","",TITLE_NUMBER_PR),TITLE_NUMBER_PR_CHANGE)</f>
        <v/>
      </c>
      <c r="W33" s="1258"/>
      <c r="X33" s="1258"/>
      <c r="Y33" s="1258"/>
      <c r="Z33" s="1258"/>
      <c r="AA33" s="1258"/>
      <c r="AB33" s="12"/>
      <c r="AC33" s="1258" t="str">
        <f>IF(TITLE_NUMBER_PR_CHANGE="",IF(TITLE_NUMBER_PR="","",TITLE_NUMBER_PR),TITLE_NUMBER_PR_CHANGE)</f>
        <v/>
      </c>
      <c r="AD33" s="1258"/>
      <c r="AE33" s="1258"/>
      <c r="AF33" s="1258"/>
      <c r="AG33" s="1258"/>
      <c r="AH33" s="1258"/>
      <c r="AI33" s="12"/>
      <c r="AJ33" s="12"/>
      <c r="AK33" s="161"/>
      <c r="AL33" s="69"/>
      <c r="AM33" s="69"/>
      <c r="AN33" s="69"/>
      <c r="AO33" s="69"/>
      <c r="AP33" s="69"/>
    </row>
    <row r="34" spans="1:42" s="36" customFormat="1" ht="0.75" customHeight="1">
      <c r="A34" s="81"/>
      <c r="B34" s="81"/>
      <c r="C34" s="81"/>
      <c r="D34" s="81"/>
      <c r="E34" s="81"/>
      <c r="F34" s="81"/>
      <c r="G34" s="81"/>
      <c r="H34" s="81"/>
      <c r="I34" s="81"/>
      <c r="J34" s="81"/>
      <c r="K34" s="81"/>
      <c r="L34" s="760"/>
      <c r="M34" s="81"/>
      <c r="N34" s="81"/>
      <c r="O34" s="81"/>
      <c r="S34" s="12"/>
      <c r="T34" s="12"/>
      <c r="U34" s="77"/>
      <c r="V34" s="12"/>
      <c r="W34" s="12"/>
      <c r="X34" s="12"/>
      <c r="Y34" s="12"/>
      <c r="Z34" s="12"/>
      <c r="AA34" s="12"/>
      <c r="AB34" s="68" t="s">
        <v>426</v>
      </c>
      <c r="AC34" s="12"/>
      <c r="AD34" s="12"/>
      <c r="AE34" s="12"/>
      <c r="AF34" s="12"/>
      <c r="AG34" s="12"/>
      <c r="AH34" s="12"/>
      <c r="AI34" s="68" t="s">
        <v>426</v>
      </c>
      <c r="AL34" s="69"/>
      <c r="AM34" s="69"/>
      <c r="AN34" s="69"/>
      <c r="AO34" s="69"/>
      <c r="AP34" s="69"/>
    </row>
    <row r="35" spans="1:42" ht="14.25" customHeight="1">
      <c r="Q35" s="29"/>
      <c r="R35" s="29"/>
      <c r="S35" s="729"/>
      <c r="T35" s="11"/>
      <c r="U35" s="709"/>
      <c r="V35" s="1259"/>
      <c r="W35" s="1259"/>
      <c r="X35" s="1259"/>
      <c r="Y35" s="1259"/>
      <c r="Z35" s="1259"/>
      <c r="AA35" s="1259"/>
      <c r="AB35" s="1259"/>
      <c r="AC35" s="1259"/>
      <c r="AD35" s="1259"/>
      <c r="AE35" s="1259"/>
      <c r="AF35" s="1259"/>
      <c r="AG35" s="1259"/>
      <c r="AH35" s="1259"/>
      <c r="AI35" s="1259"/>
    </row>
    <row r="36" spans="1:42" ht="14.25" customHeight="1">
      <c r="Q36" s="29"/>
      <c r="R36" s="29"/>
      <c r="S36" s="1146" t="s">
        <v>299</v>
      </c>
      <c r="T36" s="1146"/>
      <c r="U36" s="1146"/>
      <c r="V36" s="1146"/>
      <c r="W36" s="1146"/>
      <c r="X36" s="1146"/>
      <c r="Y36" s="1146"/>
      <c r="Z36" s="1146"/>
      <c r="AA36" s="1146"/>
      <c r="AB36" s="1146"/>
      <c r="AC36" s="1146"/>
      <c r="AD36" s="1146"/>
      <c r="AE36" s="1146"/>
      <c r="AF36" s="1146"/>
      <c r="AG36" s="1146"/>
      <c r="AH36" s="1146"/>
      <c r="AI36" s="1146"/>
      <c r="AJ36" s="1146"/>
      <c r="AK36" s="1146" t="s">
        <v>300</v>
      </c>
    </row>
    <row r="37" spans="1:42" ht="14.25" customHeight="1">
      <c r="Q37" s="29"/>
      <c r="R37" s="29"/>
      <c r="S37" s="1273" t="s">
        <v>84</v>
      </c>
      <c r="T37" s="1224" t="s">
        <v>427</v>
      </c>
      <c r="U37" s="170"/>
      <c r="V37" s="1274" t="s">
        <v>428</v>
      </c>
      <c r="W37" s="1275"/>
      <c r="X37" s="1275"/>
      <c r="Y37" s="1275"/>
      <c r="Z37" s="1275"/>
      <c r="AA37" s="1276"/>
      <c r="AB37" s="1277" t="s">
        <v>429</v>
      </c>
      <c r="AC37" s="1274" t="s">
        <v>428</v>
      </c>
      <c r="AD37" s="1275"/>
      <c r="AE37" s="1275"/>
      <c r="AF37" s="1275"/>
      <c r="AG37" s="1275"/>
      <c r="AH37" s="1276"/>
      <c r="AI37" s="1277" t="s">
        <v>430</v>
      </c>
      <c r="AJ37" s="1280" t="s">
        <v>431</v>
      </c>
      <c r="AK37" s="1146"/>
    </row>
    <row r="38" spans="1:42" ht="33.75" customHeight="1">
      <c r="Q38" s="29"/>
      <c r="R38" s="29"/>
      <c r="S38" s="1273"/>
      <c r="T38" s="1224"/>
      <c r="U38" s="595"/>
      <c r="V38" s="332" t="s">
        <v>488</v>
      </c>
      <c r="W38" s="1117" t="s">
        <v>434</v>
      </c>
      <c r="X38" s="1116"/>
      <c r="Y38" s="1117" t="s">
        <v>435</v>
      </c>
      <c r="Z38" s="1122"/>
      <c r="AA38" s="1116"/>
      <c r="AB38" s="1278"/>
      <c r="AC38" s="332" t="s">
        <v>488</v>
      </c>
      <c r="AD38" s="1117" t="s">
        <v>434</v>
      </c>
      <c r="AE38" s="1116"/>
      <c r="AF38" s="1117" t="s">
        <v>435</v>
      </c>
      <c r="AG38" s="1122"/>
      <c r="AH38" s="1116"/>
      <c r="AI38" s="1278"/>
      <c r="AJ38" s="1281"/>
      <c r="AK38" s="1146"/>
    </row>
    <row r="39" spans="1:42" ht="33.75" customHeight="1">
      <c r="A39" s="81"/>
      <c r="B39" s="81" t="s">
        <v>136</v>
      </c>
      <c r="C39" s="81" t="s">
        <v>137</v>
      </c>
      <c r="D39" s="81" t="s">
        <v>138</v>
      </c>
      <c r="E39" s="760" t="s">
        <v>436</v>
      </c>
      <c r="F39" s="760" t="s">
        <v>437</v>
      </c>
      <c r="G39" s="760" t="s">
        <v>438</v>
      </c>
      <c r="H39" s="760"/>
      <c r="I39" s="760" t="s">
        <v>489</v>
      </c>
      <c r="J39" s="760" t="s">
        <v>441</v>
      </c>
      <c r="K39" s="760" t="s">
        <v>490</v>
      </c>
      <c r="L39" s="760" t="s">
        <v>417</v>
      </c>
      <c r="Q39" s="29"/>
      <c r="R39" s="29"/>
      <c r="S39" s="1273"/>
      <c r="T39" s="1224"/>
      <c r="U39" s="171"/>
      <c r="V39" s="332" t="s">
        <v>491</v>
      </c>
      <c r="W39" s="40" t="s">
        <v>492</v>
      </c>
      <c r="X39" s="40" t="s">
        <v>493</v>
      </c>
      <c r="Y39" s="40" t="s">
        <v>445</v>
      </c>
      <c r="Z39" s="1233" t="s">
        <v>446</v>
      </c>
      <c r="AA39" s="1235"/>
      <c r="AB39" s="1279"/>
      <c r="AC39" s="332" t="s">
        <v>491</v>
      </c>
      <c r="AD39" s="40" t="s">
        <v>492</v>
      </c>
      <c r="AE39" s="40" t="s">
        <v>493</v>
      </c>
      <c r="AF39" s="40" t="s">
        <v>445</v>
      </c>
      <c r="AG39" s="1233" t="s">
        <v>446</v>
      </c>
      <c r="AH39" s="1235"/>
      <c r="AI39" s="1279"/>
      <c r="AJ39" s="1282"/>
      <c r="AK39" s="1146"/>
    </row>
    <row r="40" spans="1:42" s="201" customFormat="1" ht="0" hidden="1" customHeight="1">
      <c r="A40" s="81"/>
      <c r="B40" s="81"/>
      <c r="C40" s="81"/>
      <c r="D40" s="81"/>
      <c r="E40" s="81"/>
      <c r="F40" s="81"/>
      <c r="G40" s="81"/>
      <c r="H40" s="81"/>
      <c r="I40" s="81"/>
      <c r="J40" s="81"/>
      <c r="K40" s="81"/>
      <c r="L40" s="760"/>
      <c r="M40" s="497"/>
      <c r="N40" s="497"/>
      <c r="O40" s="497"/>
      <c r="P40" s="711"/>
      <c r="Q40" s="712"/>
      <c r="R40" s="714">
        <v>1</v>
      </c>
      <c r="S40" s="731" t="s">
        <v>105</v>
      </c>
      <c r="T40" s="715" t="s">
        <v>106</v>
      </c>
      <c r="U40" s="710" t="str">
        <f ca="1">OFFSET(U40,0,-1)</f>
        <v>2</v>
      </c>
      <c r="V40" s="716">
        <f ca="1">OFFSET(V40,0,-1)+1</f>
        <v>3</v>
      </c>
      <c r="W40" s="716">
        <f ca="1">OFFSET(W40,0,-1)+1</f>
        <v>4</v>
      </c>
      <c r="X40" s="716">
        <f ca="1">OFFSET(X40,0,-1)+1</f>
        <v>5</v>
      </c>
      <c r="Y40" s="716">
        <f ca="1">OFFSET(Y40,0,-1)+1</f>
        <v>6</v>
      </c>
      <c r="Z40" s="1272">
        <f ca="1">OFFSET(Z40,0,-1)+1</f>
        <v>7</v>
      </c>
      <c r="AA40" s="1272"/>
      <c r="AB40" s="716">
        <f ca="1">OFFSET(AB40,0,-2)+1</f>
        <v>8</v>
      </c>
      <c r="AC40" s="716">
        <f ca="1">OFFSET(AC40,0,-1)+1</f>
        <v>9</v>
      </c>
      <c r="AD40" s="716">
        <f ca="1">OFFSET(AD40,0,-1)+1</f>
        <v>10</v>
      </c>
      <c r="AE40" s="716">
        <f ca="1">OFFSET(AE40,0,-1)+1</f>
        <v>11</v>
      </c>
      <c r="AF40" s="716">
        <f ca="1">OFFSET(AF40,0,-1)+1</f>
        <v>12</v>
      </c>
      <c r="AG40" s="1272">
        <f ca="1">OFFSET(AG40,0,-1)+1</f>
        <v>13</v>
      </c>
      <c r="AH40" s="1272"/>
      <c r="AI40" s="716">
        <f ca="1">OFFSET(AI40,0,-2)+1</f>
        <v>14</v>
      </c>
      <c r="AJ40" s="710">
        <f ca="1">OFFSET(AJ40,0,-1)</f>
        <v>14</v>
      </c>
      <c r="AK40" s="716">
        <f ca="1">OFFSET(AK40,0,-1)+1</f>
        <v>15</v>
      </c>
      <c r="AL40" s="68"/>
      <c r="AM40" s="68"/>
      <c r="AN40" s="68"/>
      <c r="AO40" s="68"/>
      <c r="AP40" s="68"/>
    </row>
    <row r="41" spans="1:42" ht="23.25" customHeight="1">
      <c r="A41" s="759" t="s">
        <v>230</v>
      </c>
      <c r="B41" s="759"/>
      <c r="C41" s="759"/>
      <c r="D41" s="759"/>
      <c r="E41" s="1265">
        <v>1</v>
      </c>
      <c r="F41" s="759"/>
      <c r="G41" s="759"/>
      <c r="H41" s="759"/>
      <c r="I41" s="759"/>
      <c r="J41" s="759"/>
      <c r="K41" s="759"/>
      <c r="L41" s="760"/>
      <c r="M41" s="417"/>
      <c r="N41" s="417"/>
      <c r="O41" s="417"/>
      <c r="Q41" s="35"/>
      <c r="R41" s="205"/>
      <c r="S41" s="698">
        <f>INDEX(PT_DIFFERENTIATION_NUM_NTAR,MATCH(A41,PT_DIFFERENTIATION_NTAR_ID,0))</f>
        <v>0</v>
      </c>
      <c r="T41" s="67" t="s">
        <v>124</v>
      </c>
      <c r="U41" s="169"/>
      <c r="V41" s="1251"/>
      <c r="W41" s="1252"/>
      <c r="X41" s="1252"/>
      <c r="Y41" s="1252"/>
      <c r="Z41" s="1252"/>
      <c r="AA41" s="1252"/>
      <c r="AB41" s="1253"/>
      <c r="AC41" s="1251" t="str">
        <f>INDEX(PT_DIFFERENTIATION_NTAR,MATCH(A41,PT_DIFFERENTIATION_NTAR_ID,0))</f>
        <v/>
      </c>
      <c r="AD41" s="1252"/>
      <c r="AE41" s="1252"/>
      <c r="AF41" s="1252"/>
      <c r="AG41" s="1252"/>
      <c r="AH41" s="1252"/>
      <c r="AI41" s="1252"/>
      <c r="AJ41" s="1253"/>
      <c r="AK41"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row>
    <row r="42" spans="1:42" ht="23.25" customHeight="1">
      <c r="A42" s="759" t="s">
        <v>230</v>
      </c>
      <c r="B42" s="759" t="s">
        <v>231</v>
      </c>
      <c r="C42" s="759"/>
      <c r="D42" s="759"/>
      <c r="E42" s="1266"/>
      <c r="F42" s="1265">
        <v>1</v>
      </c>
      <c r="G42" s="759"/>
      <c r="H42" s="759"/>
      <c r="I42" s="759"/>
      <c r="J42" s="759"/>
      <c r="K42" s="759"/>
      <c r="L42" s="760"/>
      <c r="M42" s="417"/>
      <c r="N42" s="417"/>
      <c r="O42" s="417"/>
      <c r="P42" s="59"/>
      <c r="Q42" s="202"/>
      <c r="R42" s="203"/>
      <c r="S42" s="698" t="str">
        <f>INDEX(PT_DIFFERENTIATION_NUM_TER,MATCH(B42,PT_DIFFERENTIATION_TER_ID,0))</f>
        <v>.</v>
      </c>
      <c r="T42" s="175" t="s">
        <v>396</v>
      </c>
      <c r="U42" s="169"/>
      <c r="V42" s="1251"/>
      <c r="W42" s="1252"/>
      <c r="X42" s="1252"/>
      <c r="Y42" s="1252"/>
      <c r="Z42" s="1252"/>
      <c r="AA42" s="1252"/>
      <c r="AB42" s="1253"/>
      <c r="AC42" s="1251" t="str">
        <f>INDEX(PT_DIFFERENTIATION_TER,MATCH(B42,PT_DIFFERENTIATION_TER_ID,0))</f>
        <v/>
      </c>
      <c r="AD42" s="1252"/>
      <c r="AE42" s="1252"/>
      <c r="AF42" s="1252"/>
      <c r="AG42" s="1252"/>
      <c r="AH42" s="1252"/>
      <c r="AI42" s="1252"/>
      <c r="AJ42" s="1253"/>
      <c r="AK42" s="718" t="s">
        <v>397</v>
      </c>
      <c r="AM42" s="69"/>
      <c r="AN42" s="69" t="str">
        <f t="shared" si="1"/>
        <v>Территория действия тарифа</v>
      </c>
      <c r="AO42" s="69"/>
      <c r="AP42" s="69"/>
    </row>
    <row r="43" spans="1:42" ht="23.25" customHeight="1">
      <c r="A43" s="759" t="s">
        <v>230</v>
      </c>
      <c r="B43" s="759" t="s">
        <v>231</v>
      </c>
      <c r="C43" s="759" t="s">
        <v>232</v>
      </c>
      <c r="D43" s="759"/>
      <c r="E43" s="1266"/>
      <c r="F43" s="1266"/>
      <c r="G43" s="1265">
        <v>1</v>
      </c>
      <c r="H43" s="759"/>
      <c r="I43" s="759"/>
      <c r="J43" s="759"/>
      <c r="K43" s="759"/>
      <c r="L43" s="760"/>
      <c r="M43" s="417"/>
      <c r="N43" s="417"/>
      <c r="O43" s="417"/>
      <c r="P43" s="204"/>
      <c r="Q43" s="202"/>
      <c r="R43" s="203"/>
      <c r="S43" s="698" t="str">
        <f>INDEX(PT_DIFFERENTIATION_NUM_CS,MATCH(C43,PT_DIFFERENTIATION_CS_ID,0))</f>
        <v>..</v>
      </c>
      <c r="T43" s="176" t="s">
        <v>480</v>
      </c>
      <c r="U43" s="169"/>
      <c r="V43" s="1251"/>
      <c r="W43" s="1252"/>
      <c r="X43" s="1252"/>
      <c r="Y43" s="1252"/>
      <c r="Z43" s="1252"/>
      <c r="AA43" s="1252"/>
      <c r="AB43" s="1253"/>
      <c r="AC43" s="1251" t="str">
        <f>INDEX(PT_DIFFERENTIATION_CS,MATCH(C43,PT_DIFFERENTIATION_CS_ID,0))</f>
        <v/>
      </c>
      <c r="AD43" s="1252"/>
      <c r="AE43" s="1252"/>
      <c r="AF43" s="1252"/>
      <c r="AG43" s="1252"/>
      <c r="AH43" s="1252"/>
      <c r="AI43" s="1252"/>
      <c r="AJ43" s="1253"/>
      <c r="AK43" s="718" t="s">
        <v>481</v>
      </c>
      <c r="AM43" s="69"/>
      <c r="AN43" s="69" t="str">
        <f t="shared" si="1"/>
        <v>Наименование централизованной системы холодного водоснабжения</v>
      </c>
      <c r="AO43" s="69"/>
      <c r="AP43" s="69"/>
    </row>
    <row r="44" spans="1:42" ht="23.25" customHeight="1">
      <c r="A44" s="759" t="s">
        <v>230</v>
      </c>
      <c r="B44" s="759" t="s">
        <v>231</v>
      </c>
      <c r="C44" s="759" t="s">
        <v>232</v>
      </c>
      <c r="D44" s="759" t="s">
        <v>495</v>
      </c>
      <c r="E44" s="1266"/>
      <c r="F44" s="1266"/>
      <c r="G44" s="1266"/>
      <c r="H44" s="1266"/>
      <c r="I44" s="1263" t="str">
        <f>S43&amp;".1"</f>
        <v>...1</v>
      </c>
      <c r="J44" s="759"/>
      <c r="K44" s="759"/>
      <c r="L44" s="760"/>
      <c r="P44" s="1264">
        <v>1</v>
      </c>
      <c r="Q44" s="120"/>
      <c r="R44" s="206"/>
      <c r="S44" s="698" t="str">
        <f>$I44</f>
        <v>...1</v>
      </c>
      <c r="T44" s="162" t="s">
        <v>482</v>
      </c>
      <c r="U44" s="169"/>
      <c r="V44" s="1331"/>
      <c r="W44" s="1332"/>
      <c r="X44" s="1332"/>
      <c r="Y44" s="1332"/>
      <c r="Z44" s="1332"/>
      <c r="AA44" s="1332"/>
      <c r="AB44" s="1333"/>
      <c r="AC44" s="1334"/>
      <c r="AD44" s="1335"/>
      <c r="AE44" s="1335"/>
      <c r="AF44" s="1335"/>
      <c r="AG44" s="1335"/>
      <c r="AH44" s="1335"/>
      <c r="AI44" s="1335"/>
      <c r="AJ44" s="1336"/>
      <c r="AK44" s="718" t="s">
        <v>483</v>
      </c>
      <c r="AM44" s="69"/>
      <c r="AN44" s="69" t="str">
        <f t="shared" si="1"/>
        <v>Наименование признака дифференциации</v>
      </c>
      <c r="AO44" s="69"/>
      <c r="AP44" s="69"/>
    </row>
    <row r="45" spans="1:42" ht="23.25" customHeight="1">
      <c r="A45" s="759" t="s">
        <v>230</v>
      </c>
      <c r="B45" s="759" t="s">
        <v>231</v>
      </c>
      <c r="C45" s="759" t="s">
        <v>232</v>
      </c>
      <c r="D45" s="759" t="s">
        <v>495</v>
      </c>
      <c r="E45" s="1266"/>
      <c r="F45" s="1266"/>
      <c r="G45" s="1266"/>
      <c r="H45" s="1266"/>
      <c r="I45" s="1286"/>
      <c r="J45" s="1263" t="str">
        <f>I44&amp;".1"</f>
        <v>...1.1</v>
      </c>
      <c r="K45" s="759"/>
      <c r="L45" s="760" t="s">
        <v>405</v>
      </c>
      <c r="P45" s="1264"/>
      <c r="Q45" s="1264">
        <v>1</v>
      </c>
      <c r="R45" s="207"/>
      <c r="S45" s="698" t="str">
        <f>$J45</f>
        <v>...1.1</v>
      </c>
      <c r="T45" s="163" t="s">
        <v>406</v>
      </c>
      <c r="U45" s="169"/>
      <c r="V45" s="1254"/>
      <c r="W45" s="1255"/>
      <c r="X45" s="1255"/>
      <c r="Y45" s="1255"/>
      <c r="Z45" s="1255"/>
      <c r="AA45" s="1255"/>
      <c r="AB45" s="1256"/>
      <c r="AC45" s="1254"/>
      <c r="AD45" s="1255"/>
      <c r="AE45" s="1255"/>
      <c r="AF45" s="1255"/>
      <c r="AG45" s="1255"/>
      <c r="AH45" s="1255"/>
      <c r="AI45" s="1255"/>
      <c r="AJ45" s="1256"/>
      <c r="AK45" s="743" t="s">
        <v>484</v>
      </c>
      <c r="AM45" s="69"/>
      <c r="AN45" s="69" t="str">
        <f t="shared" si="1"/>
        <v>Группа потребителей</v>
      </c>
      <c r="AO45" s="69"/>
      <c r="AP45" s="69"/>
    </row>
    <row r="46" spans="1:42" ht="23.25" customHeight="1">
      <c r="A46" s="759" t="s">
        <v>230</v>
      </c>
      <c r="B46" s="759" t="s">
        <v>231</v>
      </c>
      <c r="C46" s="759" t="s">
        <v>232</v>
      </c>
      <c r="D46" s="759" t="s">
        <v>495</v>
      </c>
      <c r="E46" s="1266"/>
      <c r="F46" s="1266"/>
      <c r="G46" s="1266"/>
      <c r="H46" s="1266"/>
      <c r="I46" s="1286"/>
      <c r="J46" s="1286"/>
      <c r="K46" s="1263" t="str">
        <f>J45&amp;".1"</f>
        <v>...1.1.1</v>
      </c>
      <c r="L46" s="760"/>
      <c r="P46" s="1264"/>
      <c r="Q46" s="1264"/>
      <c r="R46" s="207">
        <v>1</v>
      </c>
      <c r="S46" s="698" t="str">
        <f>$K46</f>
        <v>...1.1.1</v>
      </c>
      <c r="T46" s="802"/>
      <c r="U46" s="169"/>
      <c r="V46" s="304"/>
      <c r="W46" s="304"/>
      <c r="X46" s="717"/>
      <c r="Y46" s="1268"/>
      <c r="Z46" s="1127" t="s">
        <v>62</v>
      </c>
      <c r="AA46" s="1268"/>
      <c r="AB46" s="1127" t="s">
        <v>62</v>
      </c>
      <c r="AC46" s="304"/>
      <c r="AD46" s="304"/>
      <c r="AE46" s="717"/>
      <c r="AF46" s="1268"/>
      <c r="AG46" s="1127" t="s">
        <v>62</v>
      </c>
      <c r="AH46" s="1287"/>
      <c r="AI46" s="1127" t="s">
        <v>62</v>
      </c>
      <c r="AJ46" s="803"/>
      <c r="AK46" s="1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row>
    <row r="47" spans="1:42" ht="0" hidden="1" customHeight="1">
      <c r="A47" s="759" t="s">
        <v>230</v>
      </c>
      <c r="B47" s="759" t="s">
        <v>231</v>
      </c>
      <c r="C47" s="759" t="s">
        <v>232</v>
      </c>
      <c r="D47" s="759" t="s">
        <v>495</v>
      </c>
      <c r="E47" s="1266"/>
      <c r="F47" s="1266"/>
      <c r="G47" s="1266"/>
      <c r="H47" s="1266"/>
      <c r="I47" s="1286"/>
      <c r="J47" s="1286"/>
      <c r="K47" s="1263"/>
      <c r="L47" s="760"/>
      <c r="P47" s="1264"/>
      <c r="Q47" s="1264"/>
      <c r="R47" s="207"/>
      <c r="S47" s="65"/>
      <c r="T47" s="169"/>
      <c r="U47" s="169"/>
      <c r="V47" s="189"/>
      <c r="W47" s="189"/>
      <c r="X47" s="190" t="str">
        <f>Y46&amp;"-"&amp;AA46</f>
        <v>-</v>
      </c>
      <c r="Y47" s="1269"/>
      <c r="Z47" s="1127"/>
      <c r="AA47" s="1269"/>
      <c r="AB47" s="1127"/>
      <c r="AC47" s="189"/>
      <c r="AD47" s="189"/>
      <c r="AE47" s="190" t="str">
        <f>AF46&amp;"-"&amp;AH46</f>
        <v>-</v>
      </c>
      <c r="AF47" s="1269"/>
      <c r="AG47" s="1127"/>
      <c r="AH47" s="1288"/>
      <c r="AI47" s="1127"/>
      <c r="AJ47" s="379"/>
      <c r="AK47" s="1330"/>
      <c r="AM47" s="69"/>
      <c r="AN47" s="69" t="str">
        <f t="shared" si="1"/>
        <v/>
      </c>
      <c r="AO47" s="69"/>
      <c r="AP47" s="69"/>
    </row>
    <row r="48" spans="1:42" ht="21" customHeight="1">
      <c r="A48" s="759" t="s">
        <v>230</v>
      </c>
      <c r="B48" s="759" t="s">
        <v>231</v>
      </c>
      <c r="C48" s="759" t="s">
        <v>232</v>
      </c>
      <c r="D48" s="759" t="s">
        <v>495</v>
      </c>
      <c r="E48" s="1266"/>
      <c r="F48" s="1266"/>
      <c r="G48" s="1266"/>
      <c r="H48" s="1266"/>
      <c r="I48" s="1286"/>
      <c r="J48" s="1263"/>
      <c r="K48" s="759"/>
      <c r="L48" s="760"/>
      <c r="P48" s="1264"/>
      <c r="Q48" s="1264"/>
      <c r="R48" s="206"/>
      <c r="S48" s="732"/>
      <c r="T48" s="164" t="s">
        <v>485</v>
      </c>
      <c r="U48" s="211"/>
      <c r="V48" s="211"/>
      <c r="W48" s="211"/>
      <c r="X48" s="211"/>
      <c r="Y48" s="211"/>
      <c r="Z48" s="211"/>
      <c r="AA48" s="211"/>
      <c r="AB48" s="211"/>
      <c r="AC48" s="211"/>
      <c r="AD48" s="211"/>
      <c r="AE48" s="211"/>
      <c r="AF48" s="211"/>
      <c r="AG48" s="211"/>
      <c r="AH48" s="211"/>
      <c r="AI48" s="211"/>
      <c r="AJ48" s="211"/>
      <c r="AK48" s="718" t="s">
        <v>486</v>
      </c>
      <c r="AM48" s="69"/>
      <c r="AN48" s="69" t="str">
        <f t="shared" si="1"/>
        <v>Добавить значение признака дифференциации</v>
      </c>
      <c r="AO48" s="69"/>
      <c r="AP48" s="69"/>
    </row>
    <row r="49" spans="1:42" ht="21" customHeight="1">
      <c r="A49" s="759" t="s">
        <v>230</v>
      </c>
      <c r="B49" s="759" t="s">
        <v>231</v>
      </c>
      <c r="C49" s="759" t="s">
        <v>232</v>
      </c>
      <c r="D49" s="759" t="s">
        <v>495</v>
      </c>
      <c r="E49" s="1266"/>
      <c r="F49" s="1266"/>
      <c r="G49" s="1266"/>
      <c r="H49" s="1266"/>
      <c r="I49" s="1263"/>
      <c r="J49" s="759"/>
      <c r="K49" s="759"/>
      <c r="L49" s="760"/>
      <c r="P49" s="1264"/>
      <c r="Q49" s="120"/>
      <c r="R49" s="206"/>
      <c r="S49" s="732"/>
      <c r="T49" s="209" t="s">
        <v>411</v>
      </c>
      <c r="U49" s="211"/>
      <c r="V49" s="211"/>
      <c r="W49" s="211"/>
      <c r="X49" s="211"/>
      <c r="Y49" s="211"/>
      <c r="Z49" s="211"/>
      <c r="AA49" s="211"/>
      <c r="AB49" s="210"/>
      <c r="AC49" s="211"/>
      <c r="AD49" s="211"/>
      <c r="AE49" s="211"/>
      <c r="AF49" s="211"/>
      <c r="AG49" s="211"/>
      <c r="AH49" s="211"/>
      <c r="AI49" s="210"/>
      <c r="AJ49" s="211"/>
      <c r="AK49" s="804"/>
      <c r="AM49" s="69"/>
      <c r="AN49" s="69" t="str">
        <f t="shared" si="1"/>
        <v>Добавить группу потребителей</v>
      </c>
      <c r="AO49" s="69"/>
      <c r="AP49" s="69"/>
    </row>
    <row r="50" spans="1:42" ht="21" customHeight="1">
      <c r="A50" s="759" t="s">
        <v>230</v>
      </c>
      <c r="B50" s="759" t="s">
        <v>231</v>
      </c>
      <c r="C50" s="759" t="s">
        <v>232</v>
      </c>
      <c r="D50" s="759" t="s">
        <v>495</v>
      </c>
      <c r="E50" s="1266"/>
      <c r="F50" s="1266"/>
      <c r="G50" s="1266"/>
      <c r="H50" s="1265"/>
      <c r="I50" s="759"/>
      <c r="J50" s="759"/>
      <c r="K50" s="759"/>
      <c r="L50" s="760"/>
      <c r="M50" s="417"/>
      <c r="N50" s="417"/>
      <c r="O50" s="63"/>
      <c r="P50" s="35"/>
      <c r="Q50" s="214"/>
      <c r="R50" s="205"/>
      <c r="S50" s="732"/>
      <c r="T50" s="105" t="s">
        <v>487</v>
      </c>
      <c r="U50" s="211"/>
      <c r="V50" s="211"/>
      <c r="W50" s="211"/>
      <c r="X50" s="211"/>
      <c r="Y50" s="211"/>
      <c r="Z50" s="211"/>
      <c r="AA50" s="211"/>
      <c r="AB50" s="210"/>
      <c r="AC50" s="211"/>
      <c r="AD50" s="211"/>
      <c r="AE50" s="211"/>
      <c r="AF50" s="211"/>
      <c r="AG50" s="211"/>
      <c r="AH50" s="211"/>
      <c r="AI50" s="210"/>
      <c r="AJ50" s="211"/>
      <c r="AK50" s="172"/>
      <c r="AM50" s="69"/>
      <c r="AN50" s="69" t="str">
        <f t="shared" si="1"/>
        <v>Добавить наименование признака дифференциации</v>
      </c>
      <c r="AO50" s="69"/>
      <c r="AP50" s="69"/>
    </row>
    <row r="51" spans="1:42" s="68" customFormat="1" ht="0" hidden="1" customHeight="1">
      <c r="A51" s="143" t="s">
        <v>230</v>
      </c>
      <c r="B51" s="143" t="s">
        <v>231</v>
      </c>
      <c r="C51" s="143"/>
      <c r="D51" s="143"/>
      <c r="E51" s="1266"/>
      <c r="F51" s="1265"/>
      <c r="G51" s="143"/>
      <c r="H51" s="143"/>
      <c r="I51" s="143"/>
      <c r="J51" s="143"/>
      <c r="K51" s="143"/>
      <c r="L51" s="338"/>
      <c r="M51" s="749"/>
      <c r="N51" s="749"/>
      <c r="P51" s="102"/>
      <c r="Q51" s="745"/>
      <c r="R51" s="102"/>
      <c r="S51" s="750"/>
      <c r="T51" s="752" t="s">
        <v>414</v>
      </c>
      <c r="U51" s="311"/>
      <c r="V51" s="311"/>
      <c r="W51" s="311"/>
      <c r="X51" s="311"/>
      <c r="Y51" s="311"/>
      <c r="Z51" s="311"/>
      <c r="AA51" s="311"/>
      <c r="AB51" s="311"/>
      <c r="AC51" s="311"/>
      <c r="AD51" s="311"/>
      <c r="AE51" s="311"/>
      <c r="AF51" s="311"/>
      <c r="AG51" s="311"/>
      <c r="AH51" s="311"/>
      <c r="AI51" s="311"/>
      <c r="AJ51" s="311"/>
      <c r="AK51" s="311"/>
      <c r="AM51" s="69"/>
      <c r="AN51" s="69" t="str">
        <f t="shared" si="1"/>
        <v>Добавить централизованную систему для дифференциации</v>
      </c>
      <c r="AO51" s="69"/>
      <c r="AP51" s="69"/>
    </row>
    <row r="52" spans="1:42" s="68" customFormat="1" ht="0" hidden="1" customHeight="1">
      <c r="A52" s="143" t="s">
        <v>230</v>
      </c>
      <c r="B52" s="143"/>
      <c r="C52" s="143"/>
      <c r="D52" s="143"/>
      <c r="E52" s="1265"/>
      <c r="F52" s="143"/>
      <c r="G52" s="143"/>
      <c r="H52" s="143"/>
      <c r="I52" s="143"/>
      <c r="J52" s="143"/>
      <c r="K52" s="143"/>
      <c r="L52" s="338"/>
      <c r="M52" s="749"/>
      <c r="N52" s="749"/>
      <c r="P52" s="102"/>
      <c r="Q52" s="745"/>
      <c r="R52" s="102"/>
      <c r="S52" s="750"/>
      <c r="T52" s="752" t="s">
        <v>415</v>
      </c>
      <c r="U52" s="311"/>
      <c r="V52" s="311"/>
      <c r="W52" s="311"/>
      <c r="X52" s="311"/>
      <c r="Y52" s="311"/>
      <c r="Z52" s="311"/>
      <c r="AA52" s="311"/>
      <c r="AB52" s="311"/>
      <c r="AC52" s="311"/>
      <c r="AD52" s="311"/>
      <c r="AE52" s="311"/>
      <c r="AF52" s="311"/>
      <c r="AG52" s="311"/>
      <c r="AH52" s="311"/>
      <c r="AI52" s="311"/>
      <c r="AJ52" s="311"/>
      <c r="AK52" s="311"/>
      <c r="AM52" s="69"/>
      <c r="AN52" s="69" t="str">
        <f t="shared" si="1"/>
        <v>Добавить территорию для дифференциации</v>
      </c>
      <c r="AO52" s="69"/>
      <c r="AP52" s="69"/>
    </row>
    <row r="53" spans="1:42" s="68" customFormat="1" ht="0" hidden="1" customHeight="1">
      <c r="A53" s="143"/>
      <c r="B53" s="143"/>
      <c r="C53" s="143"/>
      <c r="D53" s="143"/>
      <c r="E53" s="143"/>
      <c r="F53" s="143"/>
      <c r="G53" s="143"/>
      <c r="H53" s="143"/>
      <c r="I53" s="143"/>
      <c r="J53" s="143"/>
      <c r="K53" s="143"/>
      <c r="L53" s="338"/>
      <c r="M53" s="749"/>
      <c r="N53" s="749"/>
      <c r="P53" s="102"/>
      <c r="Q53" s="745"/>
      <c r="R53" s="102"/>
      <c r="S53" s="750"/>
      <c r="T53" s="752" t="s">
        <v>447</v>
      </c>
      <c r="U53" s="311"/>
      <c r="V53" s="311"/>
      <c r="W53" s="311"/>
      <c r="X53" s="311"/>
      <c r="Y53" s="311"/>
      <c r="Z53" s="311"/>
      <c r="AA53" s="311"/>
      <c r="AB53" s="311"/>
      <c r="AC53" s="311"/>
      <c r="AD53" s="311"/>
      <c r="AE53" s="311"/>
      <c r="AF53" s="311"/>
      <c r="AG53" s="311"/>
      <c r="AH53" s="311"/>
      <c r="AI53" s="311"/>
      <c r="AJ53" s="311"/>
      <c r="AK53" s="311"/>
      <c r="AM53" s="69"/>
      <c r="AN53" s="69" t="str">
        <f t="shared" si="1"/>
        <v>Добавить наименование тарифа</v>
      </c>
      <c r="AO53" s="69"/>
      <c r="AP53" s="69"/>
    </row>
    <row r="54" spans="1:42" ht="11.25" customHeight="1">
      <c r="M54" s="63"/>
      <c r="N54" s="63"/>
      <c r="O54" s="63"/>
      <c r="P54" s="12"/>
      <c r="Q54" s="12"/>
      <c r="R54" s="12"/>
      <c r="S54" s="12"/>
      <c r="AL54" s="12"/>
      <c r="AM54" s="12"/>
      <c r="AN54" s="12"/>
      <c r="AO54" s="12"/>
      <c r="AP54" s="12"/>
    </row>
    <row r="55" spans="1:42" ht="14.25" customHeight="1">
      <c r="O55" s="63"/>
      <c r="S55" s="196"/>
      <c r="T55" s="1285"/>
      <c r="U55" s="1285"/>
      <c r="V55" s="1285"/>
      <c r="W55" s="1285"/>
      <c r="X55" s="1285"/>
      <c r="Y55" s="1285"/>
      <c r="Z55" s="1285"/>
      <c r="AA55" s="1285"/>
      <c r="AB55" s="1285"/>
      <c r="AC55" s="1285"/>
      <c r="AD55" s="1285"/>
      <c r="AE55" s="1285"/>
      <c r="AF55" s="1285"/>
      <c r="AG55" s="1285"/>
      <c r="AH55" s="1285"/>
      <c r="AI55" s="1285"/>
      <c r="AJ55" s="1285"/>
      <c r="AK55" s="1285"/>
    </row>
    <row r="56" spans="1:42" ht="14.25" customHeight="1">
      <c r="O56" s="63"/>
    </row>
    <row r="57" spans="1:42" ht="14.25" customHeight="1">
      <c r="O57" s="63"/>
      <c r="S57" s="196"/>
      <c r="T57" s="1285"/>
      <c r="U57" s="1285"/>
      <c r="V57" s="1285"/>
      <c r="W57" s="1285"/>
      <c r="X57" s="1285"/>
      <c r="Y57" s="1285"/>
      <c r="Z57" s="1285"/>
      <c r="AA57" s="1285"/>
      <c r="AB57" s="1285"/>
      <c r="AC57" s="1285"/>
      <c r="AD57" s="1285"/>
      <c r="AE57" s="1285"/>
      <c r="AF57" s="1285"/>
      <c r="AG57" s="1285"/>
      <c r="AH57" s="1285"/>
      <c r="AI57" s="1285"/>
      <c r="AJ57" s="1285"/>
      <c r="AK57" s="1285"/>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FEB5E-D97F-B438-A9C9-6CE7D7CB9459}">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299" hidden="1" customWidth="1"/>
    <col min="13" max="14" width="12.28515625" style="497" hidden="1" customWidth="1"/>
    <col min="15" max="15" width="23.42578125" style="497" hidden="1" customWidth="1"/>
    <col min="16" max="16" width="3.7109375" style="34" customWidth="1"/>
    <col min="17" max="18" width="3.7109375" style="30" customWidth="1"/>
    <col min="19" max="19" width="12.7109375" style="334" customWidth="1"/>
    <col min="20" max="20" width="35.7109375" style="12" customWidth="1"/>
    <col min="21" max="21" width="0.140625" style="12" customWidth="1"/>
    <col min="22" max="24" width="24.7109375" style="12" hidden="1" customWidth="1"/>
    <col min="25" max="25" width="11.7109375" style="12" hidden="1" customWidth="1"/>
    <col min="26" max="26" width="3.7109375" style="12" hidden="1" customWidth="1"/>
    <col min="27" max="27" width="11.7109375" style="12" hidden="1" customWidth="1"/>
    <col min="28" max="28" width="8.5703125" style="12" hidden="1" customWidth="1"/>
    <col min="29" max="31" width="24.7109375" style="12" customWidth="1"/>
    <col min="32" max="32" width="11.7109375" style="12" customWidth="1"/>
    <col min="33" max="33" width="3.7109375" style="12" customWidth="1"/>
    <col min="34" max="34" width="11.7109375" style="12" customWidth="1"/>
    <col min="35" max="35" width="8.5703125" style="12" hidden="1" customWidth="1"/>
    <col min="36" max="36" width="4.7109375" style="12" customWidth="1"/>
    <col min="37" max="37" width="115.7109375" style="12" customWidth="1"/>
    <col min="38" max="39" width="10.5703125" style="68"/>
    <col min="40" max="40" width="11.140625" style="68" customWidth="1"/>
    <col min="41" max="42" width="10.5703125" style="68"/>
  </cols>
  <sheetData>
    <row r="1" spans="1:42" ht="14.25" hidden="1" customHeight="1"/>
    <row r="2" spans="1:42" ht="23.25" hidden="1" customHeight="1">
      <c r="A2" s="759"/>
      <c r="B2" s="759"/>
      <c r="C2" s="759"/>
      <c r="D2" s="759"/>
      <c r="E2" s="1265">
        <v>1</v>
      </c>
      <c r="F2" s="759"/>
      <c r="G2" s="759"/>
      <c r="H2" s="759"/>
      <c r="I2" s="759"/>
      <c r="J2" s="759"/>
      <c r="K2" s="759"/>
      <c r="L2" s="760"/>
      <c r="M2" s="417"/>
      <c r="N2" s="417"/>
      <c r="O2" s="417"/>
      <c r="Q2" s="35"/>
      <c r="R2" s="205"/>
      <c r="S2" s="698" t="e">
        <f>INDEX(PT_DIFFERENTIATION_NUM_NTAR,MATCH(A2,PT_DIFFERENTIATION_NTAR_ID,0))</f>
        <v>#N/A</v>
      </c>
      <c r="T2" s="67" t="s">
        <v>124</v>
      </c>
      <c r="U2" s="169"/>
      <c r="V2" s="1251"/>
      <c r="W2" s="1252"/>
      <c r="X2" s="1252"/>
      <c r="Y2" s="1252"/>
      <c r="Z2" s="1252"/>
      <c r="AA2" s="1252"/>
      <c r="AB2" s="1253"/>
      <c r="AC2" s="1251" t="e">
        <f>INDEX(PT_DIFFERENTIATION_NTAR,MATCH(A2,PT_DIFFERENTIATION_NTAR_ID,0))</f>
        <v>#N/A</v>
      </c>
      <c r="AD2" s="1252"/>
      <c r="AE2" s="1252"/>
      <c r="AF2" s="1252"/>
      <c r="AG2" s="1252"/>
      <c r="AH2" s="1252"/>
      <c r="AI2" s="1252"/>
      <c r="AJ2" s="1253"/>
      <c r="AK2"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row>
    <row r="3" spans="1:42" ht="23.25" hidden="1" customHeight="1">
      <c r="A3" s="759"/>
      <c r="B3" s="759"/>
      <c r="C3" s="759"/>
      <c r="D3" s="759"/>
      <c r="E3" s="1266"/>
      <c r="F3" s="1265">
        <v>1</v>
      </c>
      <c r="G3" s="759"/>
      <c r="H3" s="759"/>
      <c r="I3" s="759"/>
      <c r="J3" s="759"/>
      <c r="K3" s="759"/>
      <c r="L3" s="760"/>
      <c r="M3" s="417"/>
      <c r="N3" s="417"/>
      <c r="O3" s="417"/>
      <c r="P3" s="59"/>
      <c r="Q3" s="202"/>
      <c r="R3" s="203"/>
      <c r="S3" s="698" t="e">
        <f>INDEX(PT_DIFFERENTIATION_NUM_TER,MATCH(B3,PT_DIFFERENTIATION_TER_ID,0))</f>
        <v>#N/A</v>
      </c>
      <c r="T3" s="175" t="s">
        <v>396</v>
      </c>
      <c r="U3" s="169"/>
      <c r="V3" s="1251"/>
      <c r="W3" s="1252"/>
      <c r="X3" s="1252"/>
      <c r="Y3" s="1252"/>
      <c r="Z3" s="1252"/>
      <c r="AA3" s="1252"/>
      <c r="AB3" s="1253"/>
      <c r="AC3" s="1251" t="e">
        <f>INDEX(PT_DIFFERENTIATION_TER,MATCH(B3,PT_DIFFERENTIATION_TER_ID,0))</f>
        <v>#N/A</v>
      </c>
      <c r="AD3" s="1252"/>
      <c r="AE3" s="1252"/>
      <c r="AF3" s="1252"/>
      <c r="AG3" s="1252"/>
      <c r="AH3" s="1252"/>
      <c r="AI3" s="1252"/>
      <c r="AJ3" s="1253"/>
      <c r="AK3" s="718" t="s">
        <v>397</v>
      </c>
      <c r="AM3" s="69"/>
      <c r="AN3" s="69" t="str">
        <f t="shared" si="0"/>
        <v>Территория действия тарифа</v>
      </c>
      <c r="AO3" s="69"/>
      <c r="AP3" s="69"/>
    </row>
    <row r="4" spans="1:42" ht="23.25" hidden="1" customHeight="1">
      <c r="A4" s="759"/>
      <c r="B4" s="759"/>
      <c r="C4" s="759"/>
      <c r="D4" s="759"/>
      <c r="E4" s="1266"/>
      <c r="F4" s="1266"/>
      <c r="G4" s="1265">
        <v>1</v>
      </c>
      <c r="H4" s="759"/>
      <c r="I4" s="759"/>
      <c r="J4" s="759"/>
      <c r="K4" s="759"/>
      <c r="L4" s="760"/>
      <c r="M4" s="417"/>
      <c r="N4" s="417"/>
      <c r="O4" s="417"/>
      <c r="P4" s="204"/>
      <c r="Q4" s="202"/>
      <c r="R4" s="203"/>
      <c r="S4" s="698" t="e">
        <f>INDEX(PT_DIFFERENTIATION_NUM_CS,MATCH(C4,PT_DIFFERENTIATION_CS_ID,0))</f>
        <v>#N/A</v>
      </c>
      <c r="T4" s="176" t="s">
        <v>480</v>
      </c>
      <c r="U4" s="169"/>
      <c r="V4" s="1251"/>
      <c r="W4" s="1252"/>
      <c r="X4" s="1252"/>
      <c r="Y4" s="1252"/>
      <c r="Z4" s="1252"/>
      <c r="AA4" s="1252"/>
      <c r="AB4" s="1253"/>
      <c r="AC4" s="1251" t="e">
        <f>INDEX(PT_DIFFERENTIATION_CS,MATCH(C4,PT_DIFFERENTIATION_CS_ID,0))</f>
        <v>#N/A</v>
      </c>
      <c r="AD4" s="1252"/>
      <c r="AE4" s="1252"/>
      <c r="AF4" s="1252"/>
      <c r="AG4" s="1252"/>
      <c r="AH4" s="1252"/>
      <c r="AI4" s="1252"/>
      <c r="AJ4" s="1253"/>
      <c r="AK4" s="718" t="s">
        <v>481</v>
      </c>
      <c r="AM4" s="69"/>
      <c r="AN4" s="69" t="str">
        <f t="shared" si="0"/>
        <v>Наименование централизованной системы холодного водоснабжения</v>
      </c>
      <c r="AO4" s="69"/>
      <c r="AP4" s="69"/>
    </row>
    <row r="5" spans="1:42" ht="23.25" hidden="1" customHeight="1">
      <c r="A5" s="759"/>
      <c r="B5" s="759"/>
      <c r="C5" s="759"/>
      <c r="D5" s="759"/>
      <c r="E5" s="1266"/>
      <c r="F5" s="1266"/>
      <c r="G5" s="1266"/>
      <c r="H5" s="1266"/>
      <c r="I5" s="1263" t="e">
        <f>S4&amp;".1"</f>
        <v>#N/A</v>
      </c>
      <c r="J5" s="759"/>
      <c r="K5" s="759"/>
      <c r="L5" s="760"/>
      <c r="P5" s="1264">
        <v>1</v>
      </c>
      <c r="Q5" s="120"/>
      <c r="R5" s="206"/>
      <c r="S5" s="698" t="e">
        <f>$I5</f>
        <v>#N/A</v>
      </c>
      <c r="T5" s="162" t="s">
        <v>482</v>
      </c>
      <c r="U5" s="169"/>
      <c r="V5" s="1331"/>
      <c r="W5" s="1332"/>
      <c r="X5" s="1332"/>
      <c r="Y5" s="1332"/>
      <c r="Z5" s="1332"/>
      <c r="AA5" s="1332"/>
      <c r="AB5" s="1333"/>
      <c r="AC5" s="1334"/>
      <c r="AD5" s="1335"/>
      <c r="AE5" s="1335"/>
      <c r="AF5" s="1335"/>
      <c r="AG5" s="1335"/>
      <c r="AH5" s="1335"/>
      <c r="AI5" s="1335"/>
      <c r="AJ5" s="1336"/>
      <c r="AK5" s="718" t="s">
        <v>483</v>
      </c>
      <c r="AM5" s="69"/>
      <c r="AN5" s="69" t="str">
        <f t="shared" si="0"/>
        <v>Наименование признака дифференциации</v>
      </c>
      <c r="AO5" s="69"/>
      <c r="AP5" s="69"/>
    </row>
    <row r="6" spans="1:42" ht="23.25" hidden="1" customHeight="1">
      <c r="A6" s="759"/>
      <c r="B6" s="759"/>
      <c r="C6" s="759"/>
      <c r="D6" s="759"/>
      <c r="E6" s="1266"/>
      <c r="F6" s="1266"/>
      <c r="G6" s="1266"/>
      <c r="H6" s="1266"/>
      <c r="I6" s="1286"/>
      <c r="J6" s="1263" t="e">
        <f>I5&amp;".1"</f>
        <v>#N/A</v>
      </c>
      <c r="K6" s="759"/>
      <c r="L6" s="760" t="s">
        <v>405</v>
      </c>
      <c r="P6" s="1264"/>
      <c r="Q6" s="1264">
        <v>1</v>
      </c>
      <c r="R6" s="207"/>
      <c r="S6" s="698" t="e">
        <f>$J6</f>
        <v>#N/A</v>
      </c>
      <c r="T6" s="163" t="s">
        <v>406</v>
      </c>
      <c r="U6" s="169"/>
      <c r="V6" s="1254"/>
      <c r="W6" s="1255"/>
      <c r="X6" s="1255"/>
      <c r="Y6" s="1255"/>
      <c r="Z6" s="1255"/>
      <c r="AA6" s="1255"/>
      <c r="AB6" s="1256"/>
      <c r="AC6" s="1254"/>
      <c r="AD6" s="1255"/>
      <c r="AE6" s="1255"/>
      <c r="AF6" s="1255"/>
      <c r="AG6" s="1255"/>
      <c r="AH6" s="1255"/>
      <c r="AI6" s="1255"/>
      <c r="AJ6" s="1256"/>
      <c r="AK6" s="743" t="s">
        <v>484</v>
      </c>
      <c r="AM6" s="69"/>
      <c r="AN6" s="69" t="str">
        <f t="shared" si="0"/>
        <v>Группа потребителей</v>
      </c>
      <c r="AO6" s="69"/>
      <c r="AP6" s="69"/>
    </row>
    <row r="7" spans="1:42" ht="23.25" hidden="1" customHeight="1">
      <c r="A7" s="759"/>
      <c r="B7" s="759"/>
      <c r="C7" s="759"/>
      <c r="D7" s="759"/>
      <c r="E7" s="1266"/>
      <c r="F7" s="1266"/>
      <c r="G7" s="1266"/>
      <c r="H7" s="1266"/>
      <c r="I7" s="1286"/>
      <c r="J7" s="1286"/>
      <c r="K7" s="1263" t="e">
        <f>J6&amp;".1"</f>
        <v>#N/A</v>
      </c>
      <c r="L7" s="760"/>
      <c r="P7" s="1264"/>
      <c r="Q7" s="1264"/>
      <c r="R7" s="207">
        <v>1</v>
      </c>
      <c r="S7" s="698" t="e">
        <f>$K7</f>
        <v>#N/A</v>
      </c>
      <c r="T7" s="802"/>
      <c r="U7" s="169"/>
      <c r="V7" s="304"/>
      <c r="W7" s="304"/>
      <c r="X7" s="717"/>
      <c r="Y7" s="1268"/>
      <c r="Z7" s="1127" t="s">
        <v>62</v>
      </c>
      <c r="AA7" s="1268"/>
      <c r="AB7" s="1127" t="s">
        <v>62</v>
      </c>
      <c r="AC7" s="304"/>
      <c r="AD7" s="304"/>
      <c r="AE7" s="717"/>
      <c r="AF7" s="1268"/>
      <c r="AG7" s="1127" t="s">
        <v>62</v>
      </c>
      <c r="AH7" s="1287"/>
      <c r="AI7" s="1127" t="s">
        <v>62</v>
      </c>
      <c r="AJ7" s="803"/>
      <c r="AK7" s="1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row>
    <row r="8" spans="1:42" ht="14.25" hidden="1" customHeight="1">
      <c r="A8" s="759"/>
      <c r="B8" s="759"/>
      <c r="C8" s="759"/>
      <c r="D8" s="759"/>
      <c r="E8" s="1266"/>
      <c r="F8" s="1266"/>
      <c r="G8" s="1266"/>
      <c r="H8" s="1266"/>
      <c r="I8" s="1286"/>
      <c r="J8" s="1286"/>
      <c r="K8" s="1263"/>
      <c r="L8" s="760"/>
      <c r="P8" s="1264"/>
      <c r="Q8" s="1264"/>
      <c r="R8" s="207"/>
      <c r="S8" s="65"/>
      <c r="T8" s="169"/>
      <c r="U8" s="169"/>
      <c r="V8" s="189"/>
      <c r="W8" s="189"/>
      <c r="X8" s="190" t="str">
        <f>Y7&amp;"-"&amp;AA7</f>
        <v>-</v>
      </c>
      <c r="Y8" s="1269"/>
      <c r="Z8" s="1127"/>
      <c r="AA8" s="1269"/>
      <c r="AB8" s="1127"/>
      <c r="AC8" s="189"/>
      <c r="AD8" s="189"/>
      <c r="AE8" s="190" t="str">
        <f>AF7&amp;"-"&amp;AH7</f>
        <v>-</v>
      </c>
      <c r="AF8" s="1269"/>
      <c r="AG8" s="1127"/>
      <c r="AH8" s="1288"/>
      <c r="AI8" s="1127"/>
      <c r="AJ8" s="379"/>
      <c r="AK8" s="1330"/>
      <c r="AM8" s="69"/>
      <c r="AN8" s="69" t="str">
        <f t="shared" si="0"/>
        <v/>
      </c>
      <c r="AO8" s="69"/>
      <c r="AP8" s="69"/>
    </row>
    <row r="9" spans="1:42" ht="21" hidden="1" customHeight="1">
      <c r="A9" s="759"/>
      <c r="B9" s="759"/>
      <c r="C9" s="759"/>
      <c r="D9" s="759"/>
      <c r="E9" s="1266"/>
      <c r="F9" s="1266"/>
      <c r="G9" s="1266"/>
      <c r="H9" s="1266"/>
      <c r="I9" s="1286"/>
      <c r="J9" s="1263"/>
      <c r="K9" s="759"/>
      <c r="L9" s="760"/>
      <c r="P9" s="1264"/>
      <c r="Q9" s="1264"/>
      <c r="R9" s="206"/>
      <c r="S9" s="732"/>
      <c r="T9" s="164" t="s">
        <v>485</v>
      </c>
      <c r="U9" s="211"/>
      <c r="V9" s="211"/>
      <c r="W9" s="211"/>
      <c r="X9" s="211"/>
      <c r="Y9" s="211"/>
      <c r="Z9" s="211"/>
      <c r="AA9" s="211"/>
      <c r="AB9" s="211"/>
      <c r="AC9" s="211"/>
      <c r="AD9" s="211"/>
      <c r="AE9" s="211"/>
      <c r="AF9" s="211"/>
      <c r="AG9" s="211"/>
      <c r="AH9" s="211"/>
      <c r="AI9" s="211"/>
      <c r="AJ9" s="211"/>
      <c r="AK9" s="718" t="s">
        <v>486</v>
      </c>
      <c r="AM9" s="69"/>
      <c r="AN9" s="69" t="str">
        <f t="shared" si="0"/>
        <v>Добавить значение признака дифференциации</v>
      </c>
      <c r="AO9" s="69"/>
      <c r="AP9" s="69"/>
    </row>
    <row r="10" spans="1:42" ht="21" hidden="1" customHeight="1">
      <c r="A10" s="759"/>
      <c r="B10" s="759"/>
      <c r="C10" s="759"/>
      <c r="D10" s="759"/>
      <c r="E10" s="1266"/>
      <c r="F10" s="1266"/>
      <c r="G10" s="1266"/>
      <c r="H10" s="1266"/>
      <c r="I10" s="1263"/>
      <c r="J10" s="759"/>
      <c r="K10" s="759"/>
      <c r="L10" s="760"/>
      <c r="P10" s="1264"/>
      <c r="Q10" s="120"/>
      <c r="R10" s="206"/>
      <c r="S10" s="732"/>
      <c r="T10" s="209" t="s">
        <v>411</v>
      </c>
      <c r="U10" s="211"/>
      <c r="V10" s="211"/>
      <c r="W10" s="211"/>
      <c r="X10" s="211"/>
      <c r="Y10" s="211"/>
      <c r="Z10" s="211"/>
      <c r="AA10" s="211"/>
      <c r="AB10" s="210"/>
      <c r="AC10" s="211"/>
      <c r="AD10" s="211"/>
      <c r="AE10" s="211"/>
      <c r="AF10" s="211"/>
      <c r="AG10" s="211"/>
      <c r="AH10" s="211"/>
      <c r="AI10" s="210"/>
      <c r="AJ10" s="211"/>
      <c r="AK10" s="804"/>
      <c r="AM10" s="69"/>
      <c r="AN10" s="69" t="str">
        <f t="shared" si="0"/>
        <v>Добавить группу потребителей</v>
      </c>
      <c r="AO10" s="69"/>
      <c r="AP10" s="69"/>
    </row>
    <row r="11" spans="1:42" ht="21" hidden="1" customHeight="1">
      <c r="A11" s="759"/>
      <c r="B11" s="759"/>
      <c r="C11" s="759"/>
      <c r="D11" s="759"/>
      <c r="E11" s="1266"/>
      <c r="F11" s="1266"/>
      <c r="G11" s="1266"/>
      <c r="H11" s="1265"/>
      <c r="I11" s="759"/>
      <c r="J11" s="759"/>
      <c r="K11" s="759"/>
      <c r="L11" s="760"/>
      <c r="M11" s="417"/>
      <c r="N11" s="417"/>
      <c r="O11" s="63"/>
      <c r="P11" s="35"/>
      <c r="Q11" s="214"/>
      <c r="R11" s="205"/>
      <c r="S11" s="732"/>
      <c r="T11" s="105" t="s">
        <v>487</v>
      </c>
      <c r="U11" s="211"/>
      <c r="V11" s="211"/>
      <c r="W11" s="211"/>
      <c r="X11" s="211"/>
      <c r="Y11" s="211"/>
      <c r="Z11" s="211"/>
      <c r="AA11" s="211"/>
      <c r="AB11" s="210"/>
      <c r="AC11" s="211"/>
      <c r="AD11" s="211"/>
      <c r="AE11" s="211"/>
      <c r="AF11" s="211"/>
      <c r="AG11" s="211"/>
      <c r="AH11" s="211"/>
      <c r="AI11" s="210"/>
      <c r="AJ11" s="211"/>
      <c r="AK11" s="172"/>
      <c r="AM11" s="69"/>
      <c r="AN11" s="69" t="str">
        <f t="shared" si="0"/>
        <v>Добавить наименование признака дифференциации</v>
      </c>
      <c r="AO11" s="69"/>
      <c r="AP11" s="69"/>
    </row>
    <row r="12" spans="1:42" s="68" customFormat="1" ht="14.25" hidden="1" customHeight="1">
      <c r="A12" s="143"/>
      <c r="B12" s="143"/>
      <c r="C12" s="143"/>
      <c r="D12" s="143"/>
      <c r="E12" s="1266"/>
      <c r="F12" s="1265"/>
      <c r="G12" s="143"/>
      <c r="H12" s="143"/>
      <c r="I12" s="143"/>
      <c r="J12" s="143"/>
      <c r="K12" s="143"/>
      <c r="L12" s="338"/>
      <c r="M12" s="749"/>
      <c r="N12" s="749"/>
      <c r="P12" s="102"/>
      <c r="Q12" s="745"/>
      <c r="R12" s="102"/>
      <c r="S12" s="750"/>
      <c r="T12" s="752" t="s">
        <v>414</v>
      </c>
      <c r="U12" s="311"/>
      <c r="V12" s="311"/>
      <c r="W12" s="311"/>
      <c r="X12" s="311"/>
      <c r="Y12" s="311"/>
      <c r="Z12" s="311"/>
      <c r="AA12" s="311"/>
      <c r="AB12" s="311"/>
      <c r="AC12" s="311"/>
      <c r="AD12" s="311"/>
      <c r="AE12" s="311"/>
      <c r="AF12" s="311"/>
      <c r="AG12" s="311"/>
      <c r="AH12" s="311"/>
      <c r="AI12" s="311"/>
      <c r="AJ12" s="311"/>
      <c r="AK12" s="311"/>
      <c r="AM12" s="69"/>
      <c r="AN12" s="69" t="str">
        <f t="shared" si="0"/>
        <v>Добавить централизованную систему для дифференциации</v>
      </c>
      <c r="AO12" s="69"/>
      <c r="AP12" s="69"/>
    </row>
    <row r="13" spans="1:42" s="68" customFormat="1" ht="14.25" hidden="1" customHeight="1">
      <c r="A13" s="143"/>
      <c r="B13" s="143"/>
      <c r="C13" s="143"/>
      <c r="D13" s="143"/>
      <c r="E13" s="1265"/>
      <c r="F13" s="143"/>
      <c r="G13" s="143"/>
      <c r="H13" s="143"/>
      <c r="I13" s="143"/>
      <c r="J13" s="143"/>
      <c r="K13" s="143"/>
      <c r="L13" s="338"/>
      <c r="M13" s="749"/>
      <c r="N13" s="749"/>
      <c r="P13" s="102"/>
      <c r="Q13" s="745"/>
      <c r="R13" s="102"/>
      <c r="S13" s="750"/>
      <c r="T13" s="752" t="s">
        <v>415</v>
      </c>
      <c r="U13" s="311"/>
      <c r="V13" s="311"/>
      <c r="W13" s="311"/>
      <c r="X13" s="311"/>
      <c r="Y13" s="311"/>
      <c r="Z13" s="311"/>
      <c r="AA13" s="311"/>
      <c r="AB13" s="311"/>
      <c r="AC13" s="311"/>
      <c r="AD13" s="311"/>
      <c r="AE13" s="311"/>
      <c r="AF13" s="311"/>
      <c r="AG13" s="311"/>
      <c r="AH13" s="311"/>
      <c r="AI13" s="311"/>
      <c r="AJ13" s="311"/>
      <c r="AK13" s="311"/>
      <c r="AM13" s="69"/>
      <c r="AN13" s="69" t="str">
        <f t="shared" si="0"/>
        <v>Добавить территорию для дифференциации</v>
      </c>
      <c r="AO13" s="69"/>
      <c r="AP13" s="69"/>
    </row>
    <row r="14" spans="1:42" ht="14.25" hidden="1" customHeight="1"/>
    <row r="15" spans="1:42" ht="14.25" hidden="1" customHeight="1">
      <c r="AC15" s="359"/>
      <c r="AD15" s="359"/>
      <c r="AE15" s="758"/>
      <c r="AF15" s="1270"/>
      <c r="AG15" s="1271" t="s">
        <v>62</v>
      </c>
      <c r="AH15" s="1270"/>
      <c r="AI15" s="1271" t="s">
        <v>62</v>
      </c>
    </row>
    <row r="16" spans="1:42" ht="14.25" hidden="1" customHeight="1">
      <c r="AC16" s="359"/>
      <c r="AD16" s="359"/>
      <c r="AE16" s="190" t="str">
        <f>AF15&amp;"-"&amp;AH15</f>
        <v>-</v>
      </c>
      <c r="AF16" s="1271"/>
      <c r="AG16" s="1271"/>
      <c r="AH16" s="1271"/>
      <c r="AI16" s="1271"/>
    </row>
    <row r="17" spans="1:42" ht="14.25" hidden="1" customHeight="1"/>
    <row r="18" spans="1:42" s="63" customFormat="1" ht="22.5" hidden="1" customHeight="1">
      <c r="L18" s="299"/>
      <c r="M18" s="497"/>
      <c r="N18" s="497"/>
      <c r="O18" s="761" t="s">
        <v>416</v>
      </c>
      <c r="P18" s="497"/>
      <c r="Q18" s="762"/>
      <c r="R18" s="762"/>
      <c r="S18" s="417"/>
      <c r="Y18" s="761"/>
      <c r="AA18" s="761"/>
      <c r="AF18" s="761"/>
      <c r="AH18" s="761"/>
      <c r="AL18" s="68"/>
      <c r="AM18" s="68"/>
      <c r="AN18" s="68"/>
      <c r="AO18" s="68"/>
      <c r="AP18" s="68"/>
    </row>
    <row r="19" spans="1:42" s="63" customFormat="1" ht="14.25" hidden="1" customHeight="1">
      <c r="L19" s="299"/>
      <c r="M19" s="497"/>
      <c r="N19" s="497"/>
      <c r="O19" s="497"/>
      <c r="P19" s="497"/>
      <c r="Q19" s="762"/>
      <c r="R19" s="762"/>
      <c r="S19" s="417"/>
      <c r="AL19" s="68"/>
      <c r="AM19" s="68"/>
      <c r="AN19" s="68"/>
      <c r="AO19" s="68"/>
      <c r="AP19" s="68"/>
    </row>
    <row r="20" spans="1:42" s="63" customFormat="1" ht="12" hidden="1" customHeight="1">
      <c r="L20" s="299"/>
      <c r="M20" s="497"/>
      <c r="N20" s="497"/>
      <c r="O20" s="760" t="s">
        <v>417</v>
      </c>
      <c r="P20" s="497"/>
      <c r="Q20" s="805"/>
      <c r="R20" s="805"/>
      <c r="S20" s="417"/>
      <c r="T20" s="63" t="s">
        <v>418</v>
      </c>
      <c r="Z20" s="81" t="s">
        <v>419</v>
      </c>
      <c r="AB20" s="81" t="s">
        <v>420</v>
      </c>
      <c r="AC20" s="63" t="s">
        <v>418</v>
      </c>
      <c r="AG20" s="81" t="s">
        <v>421</v>
      </c>
      <c r="AI20" s="81" t="s">
        <v>420</v>
      </c>
    </row>
    <row r="21" spans="1:42" ht="14.25" hidden="1" customHeight="1">
      <c r="O21" s="760"/>
    </row>
    <row r="22" spans="1:42" ht="14.25" hidden="1" customHeight="1">
      <c r="O22" s="760"/>
    </row>
    <row r="23" spans="1:42" ht="14.25" customHeight="1">
      <c r="Q23" s="29"/>
      <c r="R23" s="29"/>
      <c r="S23" s="729"/>
      <c r="T23" s="11"/>
      <c r="U23" s="11"/>
    </row>
    <row r="24" spans="1:42" ht="14.25" customHeight="1">
      <c r="Q24" s="29"/>
      <c r="R24" s="29"/>
      <c r="S24" s="1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49"/>
      <c r="U24" s="1249"/>
      <c r="V24" s="1249"/>
      <c r="W24" s="1249"/>
      <c r="X24" s="1249"/>
      <c r="Y24" s="1249"/>
      <c r="Z24" s="1249"/>
      <c r="AA24" s="1249"/>
      <c r="AB24" s="1249"/>
      <c r="AC24" s="1249"/>
      <c r="AD24" s="1249"/>
      <c r="AE24" s="1249"/>
      <c r="AF24" s="1249"/>
      <c r="AG24" s="1249"/>
      <c r="AH24" s="1249"/>
      <c r="AI24" s="60"/>
    </row>
    <row r="25" spans="1:42" ht="14.25" customHeight="1">
      <c r="Q25" s="29"/>
      <c r="R25" s="29"/>
      <c r="S25" s="1194" t="str">
        <f>IF(org=0,"Не определено",org)</f>
        <v>АО "ХТК"</v>
      </c>
      <c r="T25" s="1194"/>
      <c r="U25" s="1194"/>
      <c r="V25" s="1194"/>
      <c r="W25" s="1194"/>
      <c r="X25" s="1194"/>
      <c r="Y25" s="1194"/>
      <c r="Z25" s="1194"/>
      <c r="AA25" s="1194"/>
      <c r="AB25" s="1194"/>
      <c r="AC25" s="1194"/>
      <c r="AD25" s="1194"/>
      <c r="AE25" s="1194"/>
      <c r="AF25" s="1194"/>
      <c r="AG25" s="1194"/>
      <c r="AH25" s="1194"/>
      <c r="AI25" s="60"/>
    </row>
    <row r="26" spans="1:42" ht="14.25" hidden="1" customHeight="1">
      <c r="Q26" s="29"/>
      <c r="R26" s="29"/>
      <c r="S26" s="729"/>
      <c r="T26" s="11"/>
      <c r="U26" s="11"/>
      <c r="V26" s="187"/>
      <c r="W26" s="187"/>
      <c r="X26" s="187"/>
      <c r="Y26" s="187"/>
      <c r="Z26" s="187"/>
      <c r="AA26" s="187"/>
      <c r="AB26" s="187"/>
      <c r="AC26" s="187"/>
      <c r="AD26" s="187"/>
      <c r="AE26" s="187"/>
      <c r="AF26" s="187"/>
      <c r="AG26" s="187"/>
      <c r="AH26" s="187"/>
      <c r="AI26" s="187"/>
    </row>
    <row r="27" spans="1:42" s="36" customFormat="1" ht="25.5" hidden="1" customHeight="1">
      <c r="A27" s="81"/>
      <c r="B27" s="81"/>
      <c r="C27" s="81"/>
      <c r="D27" s="81"/>
      <c r="E27" s="81"/>
      <c r="F27" s="81"/>
      <c r="G27" s="81"/>
      <c r="H27" s="81"/>
      <c r="I27" s="81"/>
      <c r="J27" s="81"/>
      <c r="K27" s="81"/>
      <c r="L27" s="760"/>
      <c r="M27" s="81"/>
      <c r="N27" s="81"/>
      <c r="O27" s="81"/>
      <c r="S27" s="1257" t="s">
        <v>37</v>
      </c>
      <c r="T27" s="1257"/>
      <c r="U27" s="763"/>
      <c r="V27" s="1258" t="str">
        <f>IF(TITLE_NAME_OR_PR_CHANGE="",IF(TITLE_NAME_OR_PR="","",TITLE_NAME_OR_PR),TITLE_NAME_OR_PR_CHANGE)</f>
        <v/>
      </c>
      <c r="W27" s="1258"/>
      <c r="X27" s="1258"/>
      <c r="Y27" s="1258"/>
      <c r="Z27" s="1258"/>
      <c r="AA27" s="1258"/>
      <c r="AB27" s="12"/>
      <c r="AC27" s="1258" t="str">
        <f>IF(TITLE_NAME_OR_PR_CHANGE="",IF(TITLE_NAME_OR_PR="","",TITLE_NAME_OR_PR),TITLE_NAME_OR_PR_CHANGE)</f>
        <v/>
      </c>
      <c r="AD27" s="1258"/>
      <c r="AE27" s="1258"/>
      <c r="AF27" s="1258"/>
      <c r="AG27" s="1258"/>
      <c r="AH27" s="1258"/>
      <c r="AI27" s="12"/>
      <c r="AJ27" s="12"/>
      <c r="AK27" s="161"/>
      <c r="AL27" s="69"/>
      <c r="AM27" s="69"/>
      <c r="AN27" s="69"/>
      <c r="AO27" s="69"/>
      <c r="AP27" s="69"/>
    </row>
    <row r="28" spans="1:42" s="36" customFormat="1" ht="18.75" hidden="1" customHeight="1">
      <c r="A28" s="81"/>
      <c r="B28" s="81"/>
      <c r="C28" s="81"/>
      <c r="D28" s="81"/>
      <c r="E28" s="81"/>
      <c r="F28" s="81"/>
      <c r="G28" s="81"/>
      <c r="H28" s="81"/>
      <c r="I28" s="81"/>
      <c r="J28" s="81"/>
      <c r="K28" s="81"/>
      <c r="L28" s="760"/>
      <c r="M28" s="81"/>
      <c r="N28" s="81"/>
      <c r="O28" s="81"/>
      <c r="S28" s="1257" t="s">
        <v>422</v>
      </c>
      <c r="T28" s="1257"/>
      <c r="U28" s="763"/>
      <c r="V28" s="1267" t="str">
        <f>IF(TITLE_DATE_PR_CHANGE="",IF(TITLE_DATE_PR="","",TITLE_DATE_PR),TITLE_DATE_PR_CHANGE)</f>
        <v/>
      </c>
      <c r="W28" s="1267"/>
      <c r="X28" s="1267"/>
      <c r="Y28" s="1267"/>
      <c r="Z28" s="1267"/>
      <c r="AA28" s="1267"/>
      <c r="AB28" s="12"/>
      <c r="AC28" s="1267" t="str">
        <f>IF(TITLE_DATE_PR_CHANGE="",IF(TITLE_DATE_PR="","",TITLE_DATE_PR),TITLE_DATE_PR_CHANGE)</f>
        <v/>
      </c>
      <c r="AD28" s="1267"/>
      <c r="AE28" s="1267"/>
      <c r="AF28" s="1267"/>
      <c r="AG28" s="1267"/>
      <c r="AH28" s="1267"/>
      <c r="AI28" s="12"/>
      <c r="AJ28" s="12"/>
      <c r="AK28" s="161"/>
      <c r="AL28" s="69"/>
      <c r="AM28" s="69"/>
      <c r="AN28" s="69"/>
      <c r="AO28" s="69"/>
      <c r="AP28" s="69"/>
    </row>
    <row r="29" spans="1:42" s="36" customFormat="1" ht="18.75" hidden="1" customHeight="1">
      <c r="A29" s="81"/>
      <c r="B29" s="81"/>
      <c r="C29" s="81"/>
      <c r="D29" s="81"/>
      <c r="E29" s="81"/>
      <c r="F29" s="81"/>
      <c r="G29" s="81"/>
      <c r="H29" s="81"/>
      <c r="I29" s="81"/>
      <c r="J29" s="81"/>
      <c r="K29" s="81"/>
      <c r="L29" s="760"/>
      <c r="M29" s="81"/>
      <c r="N29" s="81"/>
      <c r="O29" s="81"/>
      <c r="S29" s="1257" t="s">
        <v>423</v>
      </c>
      <c r="T29" s="1257"/>
      <c r="U29" s="763"/>
      <c r="V29" s="1258" t="str">
        <f>IF(TITLE_NUMBER_PR_CHANGE="",IF(TITLE_NUMBER_PR="","",TITLE_NUMBER_PR),TITLE_NUMBER_PR_CHANGE)</f>
        <v/>
      </c>
      <c r="W29" s="1258"/>
      <c r="X29" s="1258"/>
      <c r="Y29" s="1258"/>
      <c r="Z29" s="1258"/>
      <c r="AA29" s="1258"/>
      <c r="AB29" s="12"/>
      <c r="AC29" s="1258" t="str">
        <f>IF(TITLE_NUMBER_PR_CHANGE="",IF(TITLE_NUMBER_PR="","",TITLE_NUMBER_PR),TITLE_NUMBER_PR_CHANGE)</f>
        <v/>
      </c>
      <c r="AD29" s="1258"/>
      <c r="AE29" s="1258"/>
      <c r="AF29" s="1258"/>
      <c r="AG29" s="1258"/>
      <c r="AH29" s="1258"/>
      <c r="AI29" s="12"/>
      <c r="AJ29" s="12"/>
      <c r="AK29" s="161"/>
      <c r="AL29" s="69"/>
      <c r="AM29" s="69"/>
      <c r="AN29" s="69"/>
      <c r="AO29" s="69"/>
      <c r="AP29" s="69"/>
    </row>
    <row r="30" spans="1:42" s="36" customFormat="1" ht="18.75" hidden="1" customHeight="1">
      <c r="A30" s="81"/>
      <c r="B30" s="81"/>
      <c r="C30" s="81"/>
      <c r="D30" s="81"/>
      <c r="E30" s="81"/>
      <c r="F30" s="81"/>
      <c r="G30" s="81"/>
      <c r="H30" s="81"/>
      <c r="I30" s="81"/>
      <c r="J30" s="81"/>
      <c r="K30" s="81"/>
      <c r="L30" s="760"/>
      <c r="M30" s="81"/>
      <c r="N30" s="81"/>
      <c r="O30" s="81"/>
      <c r="S30" s="1257" t="s">
        <v>38</v>
      </c>
      <c r="T30" s="1257"/>
      <c r="U30" s="763"/>
      <c r="V30" s="1258" t="str">
        <f>IF(TITLE_IST_PUB_CHANGE="",IF(TITLE_IST_PUB="","",TITLE_IST_PUB),TITLE_IST_PUB_CHANGE)</f>
        <v/>
      </c>
      <c r="W30" s="1258"/>
      <c r="X30" s="1258"/>
      <c r="Y30" s="1258"/>
      <c r="Z30" s="1258"/>
      <c r="AA30" s="1258"/>
      <c r="AB30" s="12"/>
      <c r="AC30" s="1258" t="str">
        <f>IF(TITLE_IST_PUB_CHANGE="",IF(TITLE_IST_PUB="","",TITLE_IST_PUB),TITLE_IST_PUB_CHANGE)</f>
        <v/>
      </c>
      <c r="AD30" s="1258"/>
      <c r="AE30" s="1258"/>
      <c r="AF30" s="1258"/>
      <c r="AG30" s="1258"/>
      <c r="AH30" s="1258"/>
      <c r="AI30" s="12"/>
      <c r="AJ30" s="12"/>
      <c r="AK30" s="161"/>
      <c r="AL30" s="69"/>
      <c r="AM30" s="69"/>
      <c r="AN30" s="69"/>
      <c r="AO30" s="69"/>
      <c r="AP30" s="69"/>
    </row>
    <row r="31" spans="1:42" ht="14.25" hidden="1" customHeight="1">
      <c r="Q31" s="29"/>
      <c r="R31" s="29"/>
      <c r="S31" s="729"/>
      <c r="T31" s="11"/>
      <c r="U31" s="11"/>
      <c r="V31" s="187"/>
      <c r="W31" s="187"/>
      <c r="X31" s="187"/>
      <c r="Y31" s="187"/>
      <c r="Z31" s="187"/>
      <c r="AA31" s="187"/>
      <c r="AB31" s="187"/>
      <c r="AC31" s="187"/>
      <c r="AD31" s="187"/>
      <c r="AE31" s="187"/>
      <c r="AF31" s="187"/>
      <c r="AG31" s="187"/>
      <c r="AH31" s="187"/>
      <c r="AI31" s="187"/>
    </row>
    <row r="32" spans="1:42" s="36" customFormat="1" ht="18.75" hidden="1" customHeight="1">
      <c r="A32" s="81"/>
      <c r="B32" s="81"/>
      <c r="C32" s="81"/>
      <c r="D32" s="81"/>
      <c r="E32" s="81"/>
      <c r="F32" s="81"/>
      <c r="G32" s="81"/>
      <c r="H32" s="81"/>
      <c r="I32" s="81"/>
      <c r="J32" s="81"/>
      <c r="K32" s="81"/>
      <c r="L32" s="760"/>
      <c r="M32" s="81"/>
      <c r="N32" s="81"/>
      <c r="O32" s="81"/>
      <c r="S32" s="1257" t="s">
        <v>424</v>
      </c>
      <c r="T32" s="1257"/>
      <c r="U32" s="763"/>
      <c r="V32" s="1267" t="str">
        <f>IF(TITLE_DATE_PR_CHANGE="",IF(TITLE_DATE_PR="","",TITLE_DATE_PR),TITLE_DATE_PR_CHANGE)</f>
        <v/>
      </c>
      <c r="W32" s="1267"/>
      <c r="X32" s="1267"/>
      <c r="Y32" s="1267"/>
      <c r="Z32" s="1267"/>
      <c r="AA32" s="1267"/>
      <c r="AB32" s="12"/>
      <c r="AC32" s="1267" t="str">
        <f>IF(TITLE_DATE_PR_CHANGE="",IF(TITLE_DATE_PR="","",TITLE_DATE_PR),TITLE_DATE_PR_CHANGE)</f>
        <v/>
      </c>
      <c r="AD32" s="1267"/>
      <c r="AE32" s="1267"/>
      <c r="AF32" s="1267"/>
      <c r="AG32" s="1267"/>
      <c r="AH32" s="1267"/>
      <c r="AI32" s="12"/>
      <c r="AJ32" s="12"/>
      <c r="AK32" s="161"/>
      <c r="AL32" s="69"/>
      <c r="AM32" s="69"/>
      <c r="AN32" s="69"/>
      <c r="AO32" s="69"/>
      <c r="AP32" s="69"/>
    </row>
    <row r="33" spans="1:42" s="36" customFormat="1" ht="18.75" hidden="1" customHeight="1">
      <c r="A33" s="81"/>
      <c r="B33" s="81"/>
      <c r="C33" s="81"/>
      <c r="D33" s="81"/>
      <c r="E33" s="81"/>
      <c r="F33" s="81"/>
      <c r="G33" s="81"/>
      <c r="H33" s="81"/>
      <c r="I33" s="81"/>
      <c r="J33" s="81"/>
      <c r="K33" s="81"/>
      <c r="L33" s="760"/>
      <c r="M33" s="81"/>
      <c r="N33" s="81"/>
      <c r="O33" s="81"/>
      <c r="S33" s="1257" t="s">
        <v>425</v>
      </c>
      <c r="T33" s="1257"/>
      <c r="U33" s="763"/>
      <c r="V33" s="1258" t="str">
        <f>IF(TITLE_NUMBER_PR_CHANGE="",IF(TITLE_NUMBER_PR="","",TITLE_NUMBER_PR),TITLE_NUMBER_PR_CHANGE)</f>
        <v/>
      </c>
      <c r="W33" s="1258"/>
      <c r="X33" s="1258"/>
      <c r="Y33" s="1258"/>
      <c r="Z33" s="1258"/>
      <c r="AA33" s="1258"/>
      <c r="AB33" s="12"/>
      <c r="AC33" s="1258" t="str">
        <f>IF(TITLE_NUMBER_PR_CHANGE="",IF(TITLE_NUMBER_PR="","",TITLE_NUMBER_PR),TITLE_NUMBER_PR_CHANGE)</f>
        <v/>
      </c>
      <c r="AD33" s="1258"/>
      <c r="AE33" s="1258"/>
      <c r="AF33" s="1258"/>
      <c r="AG33" s="1258"/>
      <c r="AH33" s="1258"/>
      <c r="AI33" s="12"/>
      <c r="AJ33" s="12"/>
      <c r="AK33" s="161"/>
      <c r="AL33" s="69"/>
      <c r="AM33" s="69"/>
      <c r="AN33" s="69"/>
      <c r="AO33" s="69"/>
      <c r="AP33" s="69"/>
    </row>
    <row r="34" spans="1:42" s="36" customFormat="1" ht="0.75" customHeight="1">
      <c r="A34" s="81"/>
      <c r="B34" s="81"/>
      <c r="C34" s="81"/>
      <c r="D34" s="81"/>
      <c r="E34" s="81"/>
      <c r="F34" s="81"/>
      <c r="G34" s="81"/>
      <c r="H34" s="81"/>
      <c r="I34" s="81"/>
      <c r="J34" s="81"/>
      <c r="K34" s="81"/>
      <c r="L34" s="760"/>
      <c r="M34" s="81"/>
      <c r="N34" s="81"/>
      <c r="O34" s="81"/>
      <c r="S34" s="12"/>
      <c r="T34" s="12"/>
      <c r="U34" s="77"/>
      <c r="V34" s="12"/>
      <c r="W34" s="12"/>
      <c r="X34" s="12"/>
      <c r="Y34" s="12"/>
      <c r="Z34" s="12"/>
      <c r="AA34" s="12"/>
      <c r="AB34" s="68" t="s">
        <v>426</v>
      </c>
      <c r="AC34" s="12"/>
      <c r="AD34" s="12"/>
      <c r="AE34" s="12"/>
      <c r="AF34" s="12"/>
      <c r="AG34" s="12"/>
      <c r="AH34" s="12"/>
      <c r="AI34" s="68" t="s">
        <v>426</v>
      </c>
      <c r="AL34" s="69"/>
      <c r="AM34" s="69"/>
      <c r="AN34" s="69"/>
      <c r="AO34" s="69"/>
      <c r="AP34" s="69"/>
    </row>
    <row r="35" spans="1:42" ht="14.25" customHeight="1">
      <c r="Q35" s="29"/>
      <c r="R35" s="29"/>
      <c r="S35" s="729"/>
      <c r="T35" s="11"/>
      <c r="U35" s="709"/>
      <c r="V35" s="1259"/>
      <c r="W35" s="1259"/>
      <c r="X35" s="1259"/>
      <c r="Y35" s="1259"/>
      <c r="Z35" s="1259"/>
      <c r="AA35" s="1259"/>
      <c r="AB35" s="1259"/>
      <c r="AC35" s="1259"/>
      <c r="AD35" s="1259"/>
      <c r="AE35" s="1259"/>
      <c r="AF35" s="1259"/>
      <c r="AG35" s="1259"/>
      <c r="AH35" s="1259"/>
      <c r="AI35" s="1259"/>
    </row>
    <row r="36" spans="1:42" ht="14.25" customHeight="1">
      <c r="Q36" s="29"/>
      <c r="R36" s="29"/>
      <c r="S36" s="1146" t="s">
        <v>299</v>
      </c>
      <c r="T36" s="1146"/>
      <c r="U36" s="1146"/>
      <c r="V36" s="1146"/>
      <c r="W36" s="1146"/>
      <c r="X36" s="1146"/>
      <c r="Y36" s="1146"/>
      <c r="Z36" s="1146"/>
      <c r="AA36" s="1146"/>
      <c r="AB36" s="1146"/>
      <c r="AC36" s="1146"/>
      <c r="AD36" s="1146"/>
      <c r="AE36" s="1146"/>
      <c r="AF36" s="1146"/>
      <c r="AG36" s="1146"/>
      <c r="AH36" s="1146"/>
      <c r="AI36" s="1146"/>
      <c r="AJ36" s="1146"/>
      <c r="AK36" s="1146" t="s">
        <v>300</v>
      </c>
    </row>
    <row r="37" spans="1:42" ht="14.25" customHeight="1">
      <c r="Q37" s="29"/>
      <c r="R37" s="29"/>
      <c r="S37" s="1273" t="s">
        <v>84</v>
      </c>
      <c r="T37" s="1224" t="s">
        <v>427</v>
      </c>
      <c r="U37" s="170"/>
      <c r="V37" s="1274" t="s">
        <v>428</v>
      </c>
      <c r="W37" s="1275"/>
      <c r="X37" s="1275"/>
      <c r="Y37" s="1275"/>
      <c r="Z37" s="1275"/>
      <c r="AA37" s="1276"/>
      <c r="AB37" s="1277" t="s">
        <v>429</v>
      </c>
      <c r="AC37" s="1274" t="s">
        <v>428</v>
      </c>
      <c r="AD37" s="1275"/>
      <c r="AE37" s="1275"/>
      <c r="AF37" s="1275"/>
      <c r="AG37" s="1275"/>
      <c r="AH37" s="1276"/>
      <c r="AI37" s="1277" t="s">
        <v>430</v>
      </c>
      <c r="AJ37" s="1280" t="s">
        <v>431</v>
      </c>
      <c r="AK37" s="1146"/>
    </row>
    <row r="38" spans="1:42" ht="33.75" customHeight="1">
      <c r="Q38" s="29"/>
      <c r="R38" s="29"/>
      <c r="S38" s="1273"/>
      <c r="T38" s="1224"/>
      <c r="U38" s="595"/>
      <c r="V38" s="332" t="s">
        <v>488</v>
      </c>
      <c r="W38" s="1117" t="s">
        <v>434</v>
      </c>
      <c r="X38" s="1116"/>
      <c r="Y38" s="1117" t="s">
        <v>435</v>
      </c>
      <c r="Z38" s="1122"/>
      <c r="AA38" s="1116"/>
      <c r="AB38" s="1278"/>
      <c r="AC38" s="332" t="s">
        <v>488</v>
      </c>
      <c r="AD38" s="1117" t="s">
        <v>434</v>
      </c>
      <c r="AE38" s="1116"/>
      <c r="AF38" s="1117" t="s">
        <v>435</v>
      </c>
      <c r="AG38" s="1122"/>
      <c r="AH38" s="1116"/>
      <c r="AI38" s="1278"/>
      <c r="AJ38" s="1281"/>
      <c r="AK38" s="1146"/>
    </row>
    <row r="39" spans="1:42" ht="33.75" customHeight="1">
      <c r="A39" s="81"/>
      <c r="B39" s="81" t="s">
        <v>136</v>
      </c>
      <c r="C39" s="81" t="s">
        <v>137</v>
      </c>
      <c r="D39" s="81" t="s">
        <v>138</v>
      </c>
      <c r="E39" s="760" t="s">
        <v>436</v>
      </c>
      <c r="F39" s="760" t="s">
        <v>437</v>
      </c>
      <c r="G39" s="760" t="s">
        <v>438</v>
      </c>
      <c r="H39" s="760"/>
      <c r="I39" s="760" t="s">
        <v>489</v>
      </c>
      <c r="J39" s="760" t="s">
        <v>441</v>
      </c>
      <c r="K39" s="760" t="s">
        <v>490</v>
      </c>
      <c r="L39" s="760" t="s">
        <v>417</v>
      </c>
      <c r="Q39" s="29"/>
      <c r="R39" s="29"/>
      <c r="S39" s="1273"/>
      <c r="T39" s="1224"/>
      <c r="U39" s="171"/>
      <c r="V39" s="332" t="s">
        <v>491</v>
      </c>
      <c r="W39" s="40" t="s">
        <v>492</v>
      </c>
      <c r="X39" s="40" t="s">
        <v>493</v>
      </c>
      <c r="Y39" s="40" t="s">
        <v>445</v>
      </c>
      <c r="Z39" s="1233" t="s">
        <v>446</v>
      </c>
      <c r="AA39" s="1235"/>
      <c r="AB39" s="1279"/>
      <c r="AC39" s="332" t="s">
        <v>491</v>
      </c>
      <c r="AD39" s="40" t="s">
        <v>492</v>
      </c>
      <c r="AE39" s="40" t="s">
        <v>493</v>
      </c>
      <c r="AF39" s="40" t="s">
        <v>445</v>
      </c>
      <c r="AG39" s="1233" t="s">
        <v>446</v>
      </c>
      <c r="AH39" s="1235"/>
      <c r="AI39" s="1279"/>
      <c r="AJ39" s="1282"/>
      <c r="AK39" s="1146"/>
    </row>
    <row r="40" spans="1:42" s="201" customFormat="1" ht="0" hidden="1" customHeight="1">
      <c r="A40" s="81"/>
      <c r="B40" s="81"/>
      <c r="C40" s="81"/>
      <c r="D40" s="81"/>
      <c r="E40" s="81"/>
      <c r="F40" s="81"/>
      <c r="G40" s="81"/>
      <c r="H40" s="81"/>
      <c r="I40" s="81"/>
      <c r="J40" s="81"/>
      <c r="K40" s="81"/>
      <c r="L40" s="760"/>
      <c r="M40" s="497"/>
      <c r="N40" s="497"/>
      <c r="O40" s="497"/>
      <c r="P40" s="711"/>
      <c r="Q40" s="712"/>
      <c r="R40" s="714">
        <v>1</v>
      </c>
      <c r="S40" s="731" t="s">
        <v>105</v>
      </c>
      <c r="T40" s="715" t="s">
        <v>106</v>
      </c>
      <c r="U40" s="710" t="str">
        <f ca="1">OFFSET(U40,0,-1)</f>
        <v>2</v>
      </c>
      <c r="V40" s="716">
        <f ca="1">OFFSET(V40,0,-1)+1</f>
        <v>3</v>
      </c>
      <c r="W40" s="716">
        <f ca="1">OFFSET(W40,0,-1)+1</f>
        <v>4</v>
      </c>
      <c r="X40" s="716">
        <f ca="1">OFFSET(X40,0,-1)+1</f>
        <v>5</v>
      </c>
      <c r="Y40" s="716">
        <f ca="1">OFFSET(Y40,0,-1)+1</f>
        <v>6</v>
      </c>
      <c r="Z40" s="1272">
        <f ca="1">OFFSET(Z40,0,-1)+1</f>
        <v>7</v>
      </c>
      <c r="AA40" s="1272"/>
      <c r="AB40" s="716">
        <f ca="1">OFFSET(AB40,0,-2)+1</f>
        <v>8</v>
      </c>
      <c r="AC40" s="716">
        <f ca="1">OFFSET(AC40,0,-1)+1</f>
        <v>9</v>
      </c>
      <c r="AD40" s="716">
        <f ca="1">OFFSET(AD40,0,-1)+1</f>
        <v>10</v>
      </c>
      <c r="AE40" s="716">
        <f ca="1">OFFSET(AE40,0,-1)+1</f>
        <v>11</v>
      </c>
      <c r="AF40" s="716">
        <f ca="1">OFFSET(AF40,0,-1)+1</f>
        <v>12</v>
      </c>
      <c r="AG40" s="1272">
        <f ca="1">OFFSET(AG40,0,-1)+1</f>
        <v>13</v>
      </c>
      <c r="AH40" s="1272"/>
      <c r="AI40" s="716">
        <f ca="1">OFFSET(AI40,0,-2)+1</f>
        <v>14</v>
      </c>
      <c r="AJ40" s="710">
        <f ca="1">OFFSET(AJ40,0,-1)</f>
        <v>14</v>
      </c>
      <c r="AK40" s="716">
        <f ca="1">OFFSET(AK40,0,-1)+1</f>
        <v>15</v>
      </c>
      <c r="AL40" s="68"/>
      <c r="AM40" s="68"/>
      <c r="AN40" s="68"/>
      <c r="AO40" s="68"/>
      <c r="AP40" s="68"/>
    </row>
    <row r="41" spans="1:42" ht="23.25" customHeight="1">
      <c r="A41" s="759" t="s">
        <v>235</v>
      </c>
      <c r="B41" s="759"/>
      <c r="C41" s="759"/>
      <c r="D41" s="759"/>
      <c r="E41" s="1265">
        <v>1</v>
      </c>
      <c r="F41" s="759"/>
      <c r="G41" s="759"/>
      <c r="H41" s="759"/>
      <c r="I41" s="759"/>
      <c r="J41" s="759"/>
      <c r="K41" s="759"/>
      <c r="L41" s="760"/>
      <c r="M41" s="417"/>
      <c r="N41" s="417"/>
      <c r="O41" s="417"/>
      <c r="Q41" s="35"/>
      <c r="R41" s="205"/>
      <c r="S41" s="698">
        <f>INDEX(PT_DIFFERENTIATION_NUM_NTAR,MATCH(A41,PT_DIFFERENTIATION_NTAR_ID,0))</f>
        <v>0</v>
      </c>
      <c r="T41" s="67" t="s">
        <v>124</v>
      </c>
      <c r="U41" s="169"/>
      <c r="V41" s="1251"/>
      <c r="W41" s="1252"/>
      <c r="X41" s="1252"/>
      <c r="Y41" s="1252"/>
      <c r="Z41" s="1252"/>
      <c r="AA41" s="1252"/>
      <c r="AB41" s="1253"/>
      <c r="AC41" s="1251" t="str">
        <f>INDEX(PT_DIFFERENTIATION_NTAR,MATCH(A41,PT_DIFFERENTIATION_NTAR_ID,0))</f>
        <v/>
      </c>
      <c r="AD41" s="1252"/>
      <c r="AE41" s="1252"/>
      <c r="AF41" s="1252"/>
      <c r="AG41" s="1252"/>
      <c r="AH41" s="1252"/>
      <c r="AI41" s="1252"/>
      <c r="AJ41" s="1253"/>
      <c r="AK41"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row>
    <row r="42" spans="1:42" ht="23.25" customHeight="1">
      <c r="A42" s="759" t="s">
        <v>235</v>
      </c>
      <c r="B42" s="759" t="s">
        <v>236</v>
      </c>
      <c r="C42" s="759"/>
      <c r="D42" s="759"/>
      <c r="E42" s="1266"/>
      <c r="F42" s="1265">
        <v>1</v>
      </c>
      <c r="G42" s="759"/>
      <c r="H42" s="759"/>
      <c r="I42" s="759"/>
      <c r="J42" s="759"/>
      <c r="K42" s="759"/>
      <c r="L42" s="760"/>
      <c r="M42" s="417"/>
      <c r="N42" s="417"/>
      <c r="O42" s="417"/>
      <c r="P42" s="59"/>
      <c r="Q42" s="202"/>
      <c r="R42" s="203"/>
      <c r="S42" s="698" t="str">
        <f>INDEX(PT_DIFFERENTIATION_NUM_TER,MATCH(B42,PT_DIFFERENTIATION_TER_ID,0))</f>
        <v>.</v>
      </c>
      <c r="T42" s="175" t="s">
        <v>396</v>
      </c>
      <c r="U42" s="169"/>
      <c r="V42" s="1251"/>
      <c r="W42" s="1252"/>
      <c r="X42" s="1252"/>
      <c r="Y42" s="1252"/>
      <c r="Z42" s="1252"/>
      <c r="AA42" s="1252"/>
      <c r="AB42" s="1253"/>
      <c r="AC42" s="1251" t="str">
        <f>INDEX(PT_DIFFERENTIATION_TER,MATCH(B42,PT_DIFFERENTIATION_TER_ID,0))</f>
        <v/>
      </c>
      <c r="AD42" s="1252"/>
      <c r="AE42" s="1252"/>
      <c r="AF42" s="1252"/>
      <c r="AG42" s="1252"/>
      <c r="AH42" s="1252"/>
      <c r="AI42" s="1252"/>
      <c r="AJ42" s="1253"/>
      <c r="AK42" s="718" t="s">
        <v>397</v>
      </c>
      <c r="AM42" s="69"/>
      <c r="AN42" s="69" t="str">
        <f t="shared" si="1"/>
        <v>Территория действия тарифа</v>
      </c>
      <c r="AO42" s="69"/>
      <c r="AP42" s="69"/>
    </row>
    <row r="43" spans="1:42" ht="23.25" customHeight="1">
      <c r="A43" s="759" t="s">
        <v>235</v>
      </c>
      <c r="B43" s="759" t="s">
        <v>236</v>
      </c>
      <c r="C43" s="759" t="s">
        <v>237</v>
      </c>
      <c r="D43" s="759"/>
      <c r="E43" s="1266"/>
      <c r="F43" s="1266"/>
      <c r="G43" s="1265">
        <v>1</v>
      </c>
      <c r="H43" s="759"/>
      <c r="I43" s="759"/>
      <c r="J43" s="759"/>
      <c r="K43" s="759"/>
      <c r="L43" s="760"/>
      <c r="M43" s="417"/>
      <c r="N43" s="417"/>
      <c r="O43" s="417"/>
      <c r="P43" s="204"/>
      <c r="Q43" s="202"/>
      <c r="R43" s="203"/>
      <c r="S43" s="698" t="str">
        <f>INDEX(PT_DIFFERENTIATION_NUM_CS,MATCH(C43,PT_DIFFERENTIATION_CS_ID,0))</f>
        <v>..</v>
      </c>
      <c r="T43" s="176" t="s">
        <v>480</v>
      </c>
      <c r="U43" s="169"/>
      <c r="V43" s="1251"/>
      <c r="W43" s="1252"/>
      <c r="X43" s="1252"/>
      <c r="Y43" s="1252"/>
      <c r="Z43" s="1252"/>
      <c r="AA43" s="1252"/>
      <c r="AB43" s="1253"/>
      <c r="AC43" s="1251" t="str">
        <f>INDEX(PT_DIFFERENTIATION_CS,MATCH(C43,PT_DIFFERENTIATION_CS_ID,0))</f>
        <v/>
      </c>
      <c r="AD43" s="1252"/>
      <c r="AE43" s="1252"/>
      <c r="AF43" s="1252"/>
      <c r="AG43" s="1252"/>
      <c r="AH43" s="1252"/>
      <c r="AI43" s="1252"/>
      <c r="AJ43" s="1253"/>
      <c r="AK43" s="718" t="s">
        <v>481</v>
      </c>
      <c r="AM43" s="69"/>
      <c r="AN43" s="69" t="str">
        <f t="shared" si="1"/>
        <v>Наименование централизованной системы холодного водоснабжения</v>
      </c>
      <c r="AO43" s="69"/>
      <c r="AP43" s="69"/>
    </row>
    <row r="44" spans="1:42" ht="23.25" customHeight="1">
      <c r="A44" s="759" t="s">
        <v>235</v>
      </c>
      <c r="B44" s="759" t="s">
        <v>236</v>
      </c>
      <c r="C44" s="759" t="s">
        <v>237</v>
      </c>
      <c r="D44" s="759" t="s">
        <v>496</v>
      </c>
      <c r="E44" s="1266"/>
      <c r="F44" s="1266"/>
      <c r="G44" s="1266"/>
      <c r="H44" s="1266"/>
      <c r="I44" s="1263" t="str">
        <f>S43&amp;".1"</f>
        <v>...1</v>
      </c>
      <c r="J44" s="759"/>
      <c r="K44" s="759"/>
      <c r="L44" s="760"/>
      <c r="P44" s="1264">
        <v>1</v>
      </c>
      <c r="Q44" s="120"/>
      <c r="R44" s="206"/>
      <c r="S44" s="698" t="str">
        <f>$I44</f>
        <v>...1</v>
      </c>
      <c r="T44" s="162" t="s">
        <v>482</v>
      </c>
      <c r="U44" s="169"/>
      <c r="V44" s="1331"/>
      <c r="W44" s="1332"/>
      <c r="X44" s="1332"/>
      <c r="Y44" s="1332"/>
      <c r="Z44" s="1332"/>
      <c r="AA44" s="1332"/>
      <c r="AB44" s="1333"/>
      <c r="AC44" s="1334"/>
      <c r="AD44" s="1335"/>
      <c r="AE44" s="1335"/>
      <c r="AF44" s="1335"/>
      <c r="AG44" s="1335"/>
      <c r="AH44" s="1335"/>
      <c r="AI44" s="1335"/>
      <c r="AJ44" s="1336"/>
      <c r="AK44" s="718" t="s">
        <v>483</v>
      </c>
      <c r="AM44" s="69"/>
      <c r="AN44" s="69" t="str">
        <f t="shared" si="1"/>
        <v>Наименование признака дифференциации</v>
      </c>
      <c r="AO44" s="69"/>
      <c r="AP44" s="69"/>
    </row>
    <row r="45" spans="1:42" ht="23.25" customHeight="1">
      <c r="A45" s="759" t="s">
        <v>235</v>
      </c>
      <c r="B45" s="759" t="s">
        <v>236</v>
      </c>
      <c r="C45" s="759" t="s">
        <v>237</v>
      </c>
      <c r="D45" s="759" t="s">
        <v>496</v>
      </c>
      <c r="E45" s="1266"/>
      <c r="F45" s="1266"/>
      <c r="G45" s="1266"/>
      <c r="H45" s="1266"/>
      <c r="I45" s="1286"/>
      <c r="J45" s="1263" t="str">
        <f>I44&amp;".1"</f>
        <v>...1.1</v>
      </c>
      <c r="K45" s="759"/>
      <c r="L45" s="760" t="s">
        <v>405</v>
      </c>
      <c r="P45" s="1264"/>
      <c r="Q45" s="1264">
        <v>1</v>
      </c>
      <c r="R45" s="207"/>
      <c r="S45" s="698" t="str">
        <f>$J45</f>
        <v>...1.1</v>
      </c>
      <c r="T45" s="163" t="s">
        <v>406</v>
      </c>
      <c r="U45" s="169"/>
      <c r="V45" s="1254"/>
      <c r="W45" s="1255"/>
      <c r="X45" s="1255"/>
      <c r="Y45" s="1255"/>
      <c r="Z45" s="1255"/>
      <c r="AA45" s="1255"/>
      <c r="AB45" s="1256"/>
      <c r="AC45" s="1254"/>
      <c r="AD45" s="1255"/>
      <c r="AE45" s="1255"/>
      <c r="AF45" s="1255"/>
      <c r="AG45" s="1255"/>
      <c r="AH45" s="1255"/>
      <c r="AI45" s="1255"/>
      <c r="AJ45" s="1256"/>
      <c r="AK45" s="743" t="s">
        <v>484</v>
      </c>
      <c r="AM45" s="69"/>
      <c r="AN45" s="69" t="str">
        <f t="shared" si="1"/>
        <v>Группа потребителей</v>
      </c>
      <c r="AO45" s="69"/>
      <c r="AP45" s="69"/>
    </row>
    <row r="46" spans="1:42" ht="23.25" customHeight="1">
      <c r="A46" s="759" t="s">
        <v>235</v>
      </c>
      <c r="B46" s="759" t="s">
        <v>236</v>
      </c>
      <c r="C46" s="759" t="s">
        <v>237</v>
      </c>
      <c r="D46" s="759" t="s">
        <v>496</v>
      </c>
      <c r="E46" s="1266"/>
      <c r="F46" s="1266"/>
      <c r="G46" s="1266"/>
      <c r="H46" s="1266"/>
      <c r="I46" s="1286"/>
      <c r="J46" s="1286"/>
      <c r="K46" s="1263" t="str">
        <f>J45&amp;".1"</f>
        <v>...1.1.1</v>
      </c>
      <c r="L46" s="760"/>
      <c r="P46" s="1264"/>
      <c r="Q46" s="1264"/>
      <c r="R46" s="207">
        <v>1</v>
      </c>
      <c r="S46" s="698" t="str">
        <f>$K46</f>
        <v>...1.1.1</v>
      </c>
      <c r="T46" s="802"/>
      <c r="U46" s="169"/>
      <c r="V46" s="304"/>
      <c r="W46" s="304"/>
      <c r="X46" s="717"/>
      <c r="Y46" s="1268"/>
      <c r="Z46" s="1127" t="s">
        <v>62</v>
      </c>
      <c r="AA46" s="1268"/>
      <c r="AB46" s="1127" t="s">
        <v>62</v>
      </c>
      <c r="AC46" s="304"/>
      <c r="AD46" s="304"/>
      <c r="AE46" s="717"/>
      <c r="AF46" s="1268"/>
      <c r="AG46" s="1127" t="s">
        <v>62</v>
      </c>
      <c r="AH46" s="1287"/>
      <c r="AI46" s="1127" t="s">
        <v>62</v>
      </c>
      <c r="AJ46" s="803"/>
      <c r="AK46" s="1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row>
    <row r="47" spans="1:42" ht="0" hidden="1" customHeight="1">
      <c r="A47" s="759" t="s">
        <v>235</v>
      </c>
      <c r="B47" s="759" t="s">
        <v>236</v>
      </c>
      <c r="C47" s="759" t="s">
        <v>237</v>
      </c>
      <c r="D47" s="759" t="s">
        <v>496</v>
      </c>
      <c r="E47" s="1266"/>
      <c r="F47" s="1266"/>
      <c r="G47" s="1266"/>
      <c r="H47" s="1266"/>
      <c r="I47" s="1286"/>
      <c r="J47" s="1286"/>
      <c r="K47" s="1263"/>
      <c r="L47" s="760"/>
      <c r="P47" s="1264"/>
      <c r="Q47" s="1264"/>
      <c r="R47" s="207"/>
      <c r="S47" s="65"/>
      <c r="T47" s="169"/>
      <c r="U47" s="169"/>
      <c r="V47" s="189"/>
      <c r="W47" s="189"/>
      <c r="X47" s="190" t="str">
        <f>Y46&amp;"-"&amp;AA46</f>
        <v>-</v>
      </c>
      <c r="Y47" s="1269"/>
      <c r="Z47" s="1127"/>
      <c r="AA47" s="1269"/>
      <c r="AB47" s="1127"/>
      <c r="AC47" s="189"/>
      <c r="AD47" s="189"/>
      <c r="AE47" s="190" t="str">
        <f>AF46&amp;"-"&amp;AH46</f>
        <v>-</v>
      </c>
      <c r="AF47" s="1269"/>
      <c r="AG47" s="1127"/>
      <c r="AH47" s="1288"/>
      <c r="AI47" s="1127"/>
      <c r="AJ47" s="379"/>
      <c r="AK47" s="1330"/>
      <c r="AM47" s="69"/>
      <c r="AN47" s="69" t="str">
        <f t="shared" si="1"/>
        <v/>
      </c>
      <c r="AO47" s="69"/>
      <c r="AP47" s="69"/>
    </row>
    <row r="48" spans="1:42" ht="21" customHeight="1">
      <c r="A48" s="759" t="s">
        <v>235</v>
      </c>
      <c r="B48" s="759" t="s">
        <v>236</v>
      </c>
      <c r="C48" s="759" t="s">
        <v>237</v>
      </c>
      <c r="D48" s="759" t="s">
        <v>496</v>
      </c>
      <c r="E48" s="1266"/>
      <c r="F48" s="1266"/>
      <c r="G48" s="1266"/>
      <c r="H48" s="1266"/>
      <c r="I48" s="1286"/>
      <c r="J48" s="1263"/>
      <c r="K48" s="759"/>
      <c r="L48" s="760"/>
      <c r="P48" s="1264"/>
      <c r="Q48" s="1264"/>
      <c r="R48" s="206"/>
      <c r="S48" s="732"/>
      <c r="T48" s="164" t="s">
        <v>485</v>
      </c>
      <c r="U48" s="211"/>
      <c r="V48" s="211"/>
      <c r="W48" s="211"/>
      <c r="X48" s="211"/>
      <c r="Y48" s="211"/>
      <c r="Z48" s="211"/>
      <c r="AA48" s="211"/>
      <c r="AB48" s="211"/>
      <c r="AC48" s="211"/>
      <c r="AD48" s="211"/>
      <c r="AE48" s="211"/>
      <c r="AF48" s="211"/>
      <c r="AG48" s="211"/>
      <c r="AH48" s="211"/>
      <c r="AI48" s="211"/>
      <c r="AJ48" s="211"/>
      <c r="AK48" s="718" t="s">
        <v>486</v>
      </c>
      <c r="AM48" s="69"/>
      <c r="AN48" s="69" t="str">
        <f t="shared" si="1"/>
        <v>Добавить значение признака дифференциации</v>
      </c>
      <c r="AO48" s="69"/>
      <c r="AP48" s="69"/>
    </row>
    <row r="49" spans="1:42" ht="21" customHeight="1">
      <c r="A49" s="759" t="s">
        <v>235</v>
      </c>
      <c r="B49" s="759" t="s">
        <v>236</v>
      </c>
      <c r="C49" s="759" t="s">
        <v>237</v>
      </c>
      <c r="D49" s="759" t="s">
        <v>496</v>
      </c>
      <c r="E49" s="1266"/>
      <c r="F49" s="1266"/>
      <c r="G49" s="1266"/>
      <c r="H49" s="1266"/>
      <c r="I49" s="1263"/>
      <c r="J49" s="759"/>
      <c r="K49" s="759"/>
      <c r="L49" s="760"/>
      <c r="P49" s="1264"/>
      <c r="Q49" s="120"/>
      <c r="R49" s="206"/>
      <c r="S49" s="732"/>
      <c r="T49" s="209" t="s">
        <v>411</v>
      </c>
      <c r="U49" s="211"/>
      <c r="V49" s="211"/>
      <c r="W49" s="211"/>
      <c r="X49" s="211"/>
      <c r="Y49" s="211"/>
      <c r="Z49" s="211"/>
      <c r="AA49" s="211"/>
      <c r="AB49" s="210"/>
      <c r="AC49" s="211"/>
      <c r="AD49" s="211"/>
      <c r="AE49" s="211"/>
      <c r="AF49" s="211"/>
      <c r="AG49" s="211"/>
      <c r="AH49" s="211"/>
      <c r="AI49" s="210"/>
      <c r="AJ49" s="211"/>
      <c r="AK49" s="804"/>
      <c r="AM49" s="69"/>
      <c r="AN49" s="69" t="str">
        <f t="shared" si="1"/>
        <v>Добавить группу потребителей</v>
      </c>
      <c r="AO49" s="69"/>
      <c r="AP49" s="69"/>
    </row>
    <row r="50" spans="1:42" ht="21" customHeight="1">
      <c r="A50" s="759" t="s">
        <v>235</v>
      </c>
      <c r="B50" s="759" t="s">
        <v>236</v>
      </c>
      <c r="C50" s="759" t="s">
        <v>237</v>
      </c>
      <c r="D50" s="759" t="s">
        <v>496</v>
      </c>
      <c r="E50" s="1266"/>
      <c r="F50" s="1266"/>
      <c r="G50" s="1266"/>
      <c r="H50" s="1265"/>
      <c r="I50" s="759"/>
      <c r="J50" s="759"/>
      <c r="K50" s="759"/>
      <c r="L50" s="760"/>
      <c r="M50" s="417"/>
      <c r="N50" s="417"/>
      <c r="O50" s="63"/>
      <c r="P50" s="35"/>
      <c r="Q50" s="214"/>
      <c r="R50" s="205"/>
      <c r="S50" s="732"/>
      <c r="T50" s="105" t="s">
        <v>487</v>
      </c>
      <c r="U50" s="211"/>
      <c r="V50" s="211"/>
      <c r="W50" s="211"/>
      <c r="X50" s="211"/>
      <c r="Y50" s="211"/>
      <c r="Z50" s="211"/>
      <c r="AA50" s="211"/>
      <c r="AB50" s="210"/>
      <c r="AC50" s="211"/>
      <c r="AD50" s="211"/>
      <c r="AE50" s="211"/>
      <c r="AF50" s="211"/>
      <c r="AG50" s="211"/>
      <c r="AH50" s="211"/>
      <c r="AI50" s="210"/>
      <c r="AJ50" s="211"/>
      <c r="AK50" s="172"/>
      <c r="AM50" s="69"/>
      <c r="AN50" s="69" t="str">
        <f t="shared" si="1"/>
        <v>Добавить наименование признака дифференциации</v>
      </c>
      <c r="AO50" s="69"/>
      <c r="AP50" s="69"/>
    </row>
    <row r="51" spans="1:42" s="68" customFormat="1" ht="0" hidden="1" customHeight="1">
      <c r="A51" s="143" t="s">
        <v>235</v>
      </c>
      <c r="B51" s="143" t="s">
        <v>236</v>
      </c>
      <c r="C51" s="143"/>
      <c r="D51" s="143"/>
      <c r="E51" s="1266"/>
      <c r="F51" s="1265"/>
      <c r="G51" s="143"/>
      <c r="H51" s="143"/>
      <c r="I51" s="143"/>
      <c r="J51" s="143"/>
      <c r="K51" s="143"/>
      <c r="L51" s="338"/>
      <c r="M51" s="749"/>
      <c r="N51" s="749"/>
      <c r="P51" s="102"/>
      <c r="Q51" s="745"/>
      <c r="R51" s="102"/>
      <c r="S51" s="750"/>
      <c r="T51" s="752" t="s">
        <v>414</v>
      </c>
      <c r="U51" s="311"/>
      <c r="V51" s="311"/>
      <c r="W51" s="311"/>
      <c r="X51" s="311"/>
      <c r="Y51" s="311"/>
      <c r="Z51" s="311"/>
      <c r="AA51" s="311"/>
      <c r="AB51" s="311"/>
      <c r="AC51" s="311"/>
      <c r="AD51" s="311"/>
      <c r="AE51" s="311"/>
      <c r="AF51" s="311"/>
      <c r="AG51" s="311"/>
      <c r="AH51" s="311"/>
      <c r="AI51" s="311"/>
      <c r="AJ51" s="311"/>
      <c r="AK51" s="311"/>
      <c r="AM51" s="69"/>
      <c r="AN51" s="69" t="str">
        <f t="shared" si="1"/>
        <v>Добавить централизованную систему для дифференциации</v>
      </c>
      <c r="AO51" s="69"/>
      <c r="AP51" s="69"/>
    </row>
    <row r="52" spans="1:42" s="68" customFormat="1" ht="0" hidden="1" customHeight="1">
      <c r="A52" s="143" t="s">
        <v>235</v>
      </c>
      <c r="B52" s="143"/>
      <c r="C52" s="143"/>
      <c r="D52" s="143"/>
      <c r="E52" s="1265"/>
      <c r="F52" s="143"/>
      <c r="G52" s="143"/>
      <c r="H52" s="143"/>
      <c r="I52" s="143"/>
      <c r="J52" s="143"/>
      <c r="K52" s="143"/>
      <c r="L52" s="338"/>
      <c r="M52" s="749"/>
      <c r="N52" s="749"/>
      <c r="P52" s="102"/>
      <c r="Q52" s="745"/>
      <c r="R52" s="102"/>
      <c r="S52" s="750"/>
      <c r="T52" s="752" t="s">
        <v>415</v>
      </c>
      <c r="U52" s="311"/>
      <c r="V52" s="311"/>
      <c r="W52" s="311"/>
      <c r="X52" s="311"/>
      <c r="Y52" s="311"/>
      <c r="Z52" s="311"/>
      <c r="AA52" s="311"/>
      <c r="AB52" s="311"/>
      <c r="AC52" s="311"/>
      <c r="AD52" s="311"/>
      <c r="AE52" s="311"/>
      <c r="AF52" s="311"/>
      <c r="AG52" s="311"/>
      <c r="AH52" s="311"/>
      <c r="AI52" s="311"/>
      <c r="AJ52" s="311"/>
      <c r="AK52" s="311"/>
      <c r="AM52" s="69"/>
      <c r="AN52" s="69" t="str">
        <f t="shared" si="1"/>
        <v>Добавить территорию для дифференциации</v>
      </c>
      <c r="AO52" s="69"/>
      <c r="AP52" s="69"/>
    </row>
    <row r="53" spans="1:42" s="68" customFormat="1" ht="0" hidden="1" customHeight="1">
      <c r="A53" s="143"/>
      <c r="B53" s="143"/>
      <c r="C53" s="143"/>
      <c r="D53" s="143"/>
      <c r="E53" s="143"/>
      <c r="F53" s="143"/>
      <c r="G53" s="143"/>
      <c r="H53" s="143"/>
      <c r="I53" s="143"/>
      <c r="J53" s="143"/>
      <c r="K53" s="143"/>
      <c r="L53" s="338"/>
      <c r="M53" s="749"/>
      <c r="N53" s="749"/>
      <c r="P53" s="102"/>
      <c r="Q53" s="745"/>
      <c r="R53" s="102"/>
      <c r="S53" s="750"/>
      <c r="T53" s="752" t="s">
        <v>447</v>
      </c>
      <c r="U53" s="311"/>
      <c r="V53" s="311"/>
      <c r="W53" s="311"/>
      <c r="X53" s="311"/>
      <c r="Y53" s="311"/>
      <c r="Z53" s="311"/>
      <c r="AA53" s="311"/>
      <c r="AB53" s="311"/>
      <c r="AC53" s="311"/>
      <c r="AD53" s="311"/>
      <c r="AE53" s="311"/>
      <c r="AF53" s="311"/>
      <c r="AG53" s="311"/>
      <c r="AH53" s="311"/>
      <c r="AI53" s="311"/>
      <c r="AJ53" s="311"/>
      <c r="AK53" s="311"/>
      <c r="AM53" s="69"/>
      <c r="AN53" s="69" t="str">
        <f t="shared" si="1"/>
        <v>Добавить наименование тарифа</v>
      </c>
      <c r="AO53" s="69"/>
      <c r="AP53" s="69"/>
    </row>
    <row r="54" spans="1:42" ht="11.25" customHeight="1">
      <c r="M54" s="63"/>
      <c r="N54" s="63"/>
      <c r="O54" s="63"/>
      <c r="P54" s="12"/>
      <c r="Q54" s="12"/>
      <c r="R54" s="12"/>
      <c r="S54" s="12"/>
      <c r="AL54" s="12"/>
      <c r="AM54" s="12"/>
      <c r="AN54" s="12"/>
      <c r="AO54" s="12"/>
      <c r="AP54" s="12"/>
    </row>
    <row r="55" spans="1:42" ht="14.25" customHeight="1">
      <c r="O55" s="63"/>
      <c r="S55" s="196"/>
      <c r="T55" s="1285"/>
      <c r="U55" s="1285"/>
      <c r="V55" s="1285"/>
      <c r="W55" s="1285"/>
      <c r="X55" s="1285"/>
      <c r="Y55" s="1285"/>
      <c r="Z55" s="1285"/>
      <c r="AA55" s="1285"/>
      <c r="AB55" s="1285"/>
      <c r="AC55" s="1285"/>
      <c r="AD55" s="1285"/>
      <c r="AE55" s="1285"/>
      <c r="AF55" s="1285"/>
      <c r="AG55" s="1285"/>
      <c r="AH55" s="1285"/>
      <c r="AI55" s="1285"/>
      <c r="AJ55" s="1285"/>
      <c r="AK55" s="1285"/>
    </row>
    <row r="56" spans="1:42" ht="14.25" customHeight="1">
      <c r="O56" s="63"/>
    </row>
    <row r="57" spans="1:42" ht="14.25" customHeight="1">
      <c r="O57" s="63"/>
      <c r="S57" s="196"/>
      <c r="T57" s="1285"/>
      <c r="U57" s="1285"/>
      <c r="V57" s="1285"/>
      <c r="W57" s="1285"/>
      <c r="X57" s="1285"/>
      <c r="Y57" s="1285"/>
      <c r="Z57" s="1285"/>
      <c r="AA57" s="1285"/>
      <c r="AB57" s="1285"/>
      <c r="AC57" s="1285"/>
      <c r="AD57" s="1285"/>
      <c r="AE57" s="1285"/>
      <c r="AF57" s="1285"/>
      <c r="AG57" s="1285"/>
      <c r="AH57" s="1285"/>
      <c r="AI57" s="1285"/>
      <c r="AJ57" s="1285"/>
      <c r="AK57" s="128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338EC-22A3-4506-F1BE-455FE2D47E9D}">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299" hidden="1" customWidth="1"/>
    <col min="13" max="14" width="12.28515625" style="497" hidden="1" customWidth="1"/>
    <col min="15" max="15" width="23.42578125" style="497" hidden="1" customWidth="1"/>
    <col min="16" max="16" width="3.7109375" style="34" customWidth="1"/>
    <col min="17" max="18" width="3.7109375" style="30" customWidth="1"/>
    <col min="19" max="19" width="12.7109375" style="334" customWidth="1"/>
    <col min="20" max="20" width="35.7109375" style="12" customWidth="1"/>
    <col min="21" max="21" width="0.140625" style="12" customWidth="1"/>
    <col min="22" max="24" width="24.7109375" style="12" hidden="1" customWidth="1"/>
    <col min="25" max="25" width="11.7109375" style="12" hidden="1" customWidth="1"/>
    <col min="26" max="26" width="3.7109375" style="12" hidden="1" customWidth="1"/>
    <col min="27" max="27" width="11.7109375" style="12" hidden="1" customWidth="1"/>
    <col min="28" max="28" width="8.5703125" style="12" hidden="1" customWidth="1"/>
    <col min="29" max="31" width="24.7109375" style="12" customWidth="1"/>
    <col min="32" max="32" width="11.7109375" style="12" customWidth="1"/>
    <col min="33" max="33" width="3.7109375" style="12" customWidth="1"/>
    <col min="34" max="34" width="11.7109375" style="12" customWidth="1"/>
    <col min="35" max="35" width="8.5703125" style="12" hidden="1" customWidth="1"/>
    <col min="36" max="36" width="4.7109375" style="12" customWidth="1"/>
    <col min="37" max="37" width="115.7109375" style="12" customWidth="1"/>
    <col min="38" max="39" width="10.5703125" style="68"/>
    <col min="40" max="40" width="11.140625" style="68" customWidth="1"/>
    <col min="41" max="42" width="10.5703125" style="68"/>
  </cols>
  <sheetData>
    <row r="1" spans="1:42" ht="14.25" hidden="1" customHeight="1"/>
    <row r="2" spans="1:42" ht="23.25" hidden="1" customHeight="1">
      <c r="A2" s="759"/>
      <c r="B2" s="759"/>
      <c r="C2" s="759"/>
      <c r="D2" s="759"/>
      <c r="E2" s="1265">
        <v>1</v>
      </c>
      <c r="F2" s="759"/>
      <c r="G2" s="759"/>
      <c r="H2" s="759"/>
      <c r="I2" s="759"/>
      <c r="J2" s="759"/>
      <c r="K2" s="759"/>
      <c r="L2" s="760"/>
      <c r="M2" s="417"/>
      <c r="N2" s="417"/>
      <c r="O2" s="417"/>
      <c r="Q2" s="35"/>
      <c r="R2" s="205"/>
      <c r="S2" s="698" t="e">
        <f>INDEX(PT_DIFFERENTIATION_NUM_NTAR,MATCH(A2,PT_DIFFERENTIATION_NTAR_ID,0))</f>
        <v>#N/A</v>
      </c>
      <c r="T2" s="67" t="s">
        <v>124</v>
      </c>
      <c r="U2" s="169"/>
      <c r="V2" s="1251"/>
      <c r="W2" s="1252"/>
      <c r="X2" s="1252"/>
      <c r="Y2" s="1252"/>
      <c r="Z2" s="1252"/>
      <c r="AA2" s="1252"/>
      <c r="AB2" s="1253"/>
      <c r="AC2" s="1251" t="e">
        <f>INDEX(PT_DIFFERENTIATION_NTAR,MATCH(A2,PT_DIFFERENTIATION_NTAR_ID,0))</f>
        <v>#N/A</v>
      </c>
      <c r="AD2" s="1252"/>
      <c r="AE2" s="1252"/>
      <c r="AF2" s="1252"/>
      <c r="AG2" s="1252"/>
      <c r="AH2" s="1252"/>
      <c r="AI2" s="1252"/>
      <c r="AJ2" s="1253"/>
      <c r="AK2"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row>
    <row r="3" spans="1:42" ht="23.25" hidden="1" customHeight="1">
      <c r="A3" s="759"/>
      <c r="B3" s="759"/>
      <c r="C3" s="759"/>
      <c r="D3" s="759"/>
      <c r="E3" s="1266"/>
      <c r="F3" s="1265">
        <v>1</v>
      </c>
      <c r="G3" s="759"/>
      <c r="H3" s="759"/>
      <c r="I3" s="759"/>
      <c r="J3" s="759"/>
      <c r="K3" s="759"/>
      <c r="L3" s="760"/>
      <c r="M3" s="417"/>
      <c r="N3" s="417"/>
      <c r="O3" s="417"/>
      <c r="P3" s="59"/>
      <c r="Q3" s="202"/>
      <c r="R3" s="203"/>
      <c r="S3" s="698" t="e">
        <f>INDEX(PT_DIFFERENTIATION_NUM_TER,MATCH(B3,PT_DIFFERENTIATION_TER_ID,0))</f>
        <v>#N/A</v>
      </c>
      <c r="T3" s="175" t="s">
        <v>396</v>
      </c>
      <c r="U3" s="169"/>
      <c r="V3" s="1251"/>
      <c r="W3" s="1252"/>
      <c r="X3" s="1252"/>
      <c r="Y3" s="1252"/>
      <c r="Z3" s="1252"/>
      <c r="AA3" s="1252"/>
      <c r="AB3" s="1253"/>
      <c r="AC3" s="1251" t="e">
        <f>INDEX(PT_DIFFERENTIATION_TER,MATCH(B3,PT_DIFFERENTIATION_TER_ID,0))</f>
        <v>#N/A</v>
      </c>
      <c r="AD3" s="1252"/>
      <c r="AE3" s="1252"/>
      <c r="AF3" s="1252"/>
      <c r="AG3" s="1252"/>
      <c r="AH3" s="1252"/>
      <c r="AI3" s="1252"/>
      <c r="AJ3" s="1253"/>
      <c r="AK3" s="718" t="s">
        <v>397</v>
      </c>
      <c r="AM3" s="69"/>
      <c r="AN3" s="69" t="str">
        <f t="shared" si="0"/>
        <v>Территория действия тарифа</v>
      </c>
      <c r="AO3" s="69"/>
      <c r="AP3" s="69"/>
    </row>
    <row r="4" spans="1:42" ht="23.25" hidden="1" customHeight="1">
      <c r="A4" s="759"/>
      <c r="B4" s="759"/>
      <c r="C4" s="759"/>
      <c r="D4" s="759"/>
      <c r="E4" s="1266"/>
      <c r="F4" s="1266"/>
      <c r="G4" s="1265">
        <v>1</v>
      </c>
      <c r="H4" s="759"/>
      <c r="I4" s="759"/>
      <c r="J4" s="759"/>
      <c r="K4" s="759"/>
      <c r="L4" s="760"/>
      <c r="M4" s="417"/>
      <c r="N4" s="417"/>
      <c r="O4" s="417"/>
      <c r="P4" s="204"/>
      <c r="Q4" s="202"/>
      <c r="R4" s="203"/>
      <c r="S4" s="698" t="e">
        <f>INDEX(PT_DIFFERENTIATION_NUM_CS,MATCH(C4,PT_DIFFERENTIATION_CS_ID,0))</f>
        <v>#N/A</v>
      </c>
      <c r="T4" s="176" t="s">
        <v>480</v>
      </c>
      <c r="U4" s="169"/>
      <c r="V4" s="1251"/>
      <c r="W4" s="1252"/>
      <c r="X4" s="1252"/>
      <c r="Y4" s="1252"/>
      <c r="Z4" s="1252"/>
      <c r="AA4" s="1252"/>
      <c r="AB4" s="1253"/>
      <c r="AC4" s="1251" t="e">
        <f>INDEX(PT_DIFFERENTIATION_CS,MATCH(C4,PT_DIFFERENTIATION_CS_ID,0))</f>
        <v>#N/A</v>
      </c>
      <c r="AD4" s="1252"/>
      <c r="AE4" s="1252"/>
      <c r="AF4" s="1252"/>
      <c r="AG4" s="1252"/>
      <c r="AH4" s="1252"/>
      <c r="AI4" s="1252"/>
      <c r="AJ4" s="1253"/>
      <c r="AK4" s="718" t="s">
        <v>481</v>
      </c>
      <c r="AM4" s="69"/>
      <c r="AN4" s="69" t="str">
        <f t="shared" si="0"/>
        <v>Наименование централизованной системы холодного водоснабжения</v>
      </c>
      <c r="AO4" s="69"/>
      <c r="AP4" s="69"/>
    </row>
    <row r="5" spans="1:42" ht="23.25" hidden="1" customHeight="1">
      <c r="A5" s="759"/>
      <c r="B5" s="759"/>
      <c r="C5" s="759"/>
      <c r="D5" s="759"/>
      <c r="E5" s="1266"/>
      <c r="F5" s="1266"/>
      <c r="G5" s="1266"/>
      <c r="H5" s="1266"/>
      <c r="I5" s="1263" t="e">
        <f>S4&amp;".1"</f>
        <v>#N/A</v>
      </c>
      <c r="J5" s="759"/>
      <c r="K5" s="759"/>
      <c r="L5" s="760"/>
      <c r="P5" s="1264">
        <v>1</v>
      </c>
      <c r="Q5" s="120"/>
      <c r="R5" s="206"/>
      <c r="S5" s="698" t="e">
        <f>$I5</f>
        <v>#N/A</v>
      </c>
      <c r="T5" s="162" t="s">
        <v>482</v>
      </c>
      <c r="U5" s="169"/>
      <c r="V5" s="1331"/>
      <c r="W5" s="1332"/>
      <c r="X5" s="1332"/>
      <c r="Y5" s="1332"/>
      <c r="Z5" s="1332"/>
      <c r="AA5" s="1332"/>
      <c r="AB5" s="1333"/>
      <c r="AC5" s="1334"/>
      <c r="AD5" s="1335"/>
      <c r="AE5" s="1335"/>
      <c r="AF5" s="1335"/>
      <c r="AG5" s="1335"/>
      <c r="AH5" s="1335"/>
      <c r="AI5" s="1335"/>
      <c r="AJ5" s="1336"/>
      <c r="AK5" s="718" t="s">
        <v>483</v>
      </c>
      <c r="AM5" s="69"/>
      <c r="AN5" s="69" t="str">
        <f t="shared" si="0"/>
        <v>Наименование признака дифференциации</v>
      </c>
      <c r="AO5" s="69"/>
      <c r="AP5" s="69"/>
    </row>
    <row r="6" spans="1:42" ht="23.25" hidden="1" customHeight="1">
      <c r="A6" s="759"/>
      <c r="B6" s="759"/>
      <c r="C6" s="759"/>
      <c r="D6" s="759"/>
      <c r="E6" s="1266"/>
      <c r="F6" s="1266"/>
      <c r="G6" s="1266"/>
      <c r="H6" s="1266"/>
      <c r="I6" s="1286"/>
      <c r="J6" s="1263" t="e">
        <f>I5&amp;".1"</f>
        <v>#N/A</v>
      </c>
      <c r="K6" s="759"/>
      <c r="L6" s="760" t="s">
        <v>405</v>
      </c>
      <c r="P6" s="1264"/>
      <c r="Q6" s="1264">
        <v>1</v>
      </c>
      <c r="R6" s="207"/>
      <c r="S6" s="698" t="e">
        <f>$J6</f>
        <v>#N/A</v>
      </c>
      <c r="T6" s="163" t="s">
        <v>406</v>
      </c>
      <c r="U6" s="169"/>
      <c r="V6" s="1254"/>
      <c r="W6" s="1255"/>
      <c r="X6" s="1255"/>
      <c r="Y6" s="1255"/>
      <c r="Z6" s="1255"/>
      <c r="AA6" s="1255"/>
      <c r="AB6" s="1256"/>
      <c r="AC6" s="1254"/>
      <c r="AD6" s="1255"/>
      <c r="AE6" s="1255"/>
      <c r="AF6" s="1255"/>
      <c r="AG6" s="1255"/>
      <c r="AH6" s="1255"/>
      <c r="AI6" s="1255"/>
      <c r="AJ6" s="1256"/>
      <c r="AK6" s="743" t="s">
        <v>484</v>
      </c>
      <c r="AM6" s="69"/>
      <c r="AN6" s="69" t="str">
        <f t="shared" si="0"/>
        <v>Группа потребителей</v>
      </c>
      <c r="AO6" s="69"/>
      <c r="AP6" s="69"/>
    </row>
    <row r="7" spans="1:42" ht="23.25" hidden="1" customHeight="1">
      <c r="A7" s="759"/>
      <c r="B7" s="759"/>
      <c r="C7" s="759"/>
      <c r="D7" s="759"/>
      <c r="E7" s="1266"/>
      <c r="F7" s="1266"/>
      <c r="G7" s="1266"/>
      <c r="H7" s="1266"/>
      <c r="I7" s="1286"/>
      <c r="J7" s="1286"/>
      <c r="K7" s="1263" t="e">
        <f>J6&amp;".1"</f>
        <v>#N/A</v>
      </c>
      <c r="L7" s="760"/>
      <c r="P7" s="1264"/>
      <c r="Q7" s="1264"/>
      <c r="R7" s="207">
        <v>1</v>
      </c>
      <c r="S7" s="698" t="e">
        <f>$K7</f>
        <v>#N/A</v>
      </c>
      <c r="T7" s="802"/>
      <c r="U7" s="169"/>
      <c r="V7" s="304"/>
      <c r="W7" s="304"/>
      <c r="X7" s="717"/>
      <c r="Y7" s="1268"/>
      <c r="Z7" s="1127" t="s">
        <v>62</v>
      </c>
      <c r="AA7" s="1268"/>
      <c r="AB7" s="1127" t="s">
        <v>62</v>
      </c>
      <c r="AC7" s="304"/>
      <c r="AD7" s="304"/>
      <c r="AE7" s="717"/>
      <c r="AF7" s="1268"/>
      <c r="AG7" s="1127" t="s">
        <v>62</v>
      </c>
      <c r="AH7" s="1287"/>
      <c r="AI7" s="1127" t="s">
        <v>62</v>
      </c>
      <c r="AJ7" s="803"/>
      <c r="AK7" s="1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row>
    <row r="8" spans="1:42" ht="14.25" hidden="1" customHeight="1">
      <c r="A8" s="759"/>
      <c r="B8" s="759"/>
      <c r="C8" s="759"/>
      <c r="D8" s="759"/>
      <c r="E8" s="1266"/>
      <c r="F8" s="1266"/>
      <c r="G8" s="1266"/>
      <c r="H8" s="1266"/>
      <c r="I8" s="1286"/>
      <c r="J8" s="1286"/>
      <c r="K8" s="1263"/>
      <c r="L8" s="760"/>
      <c r="P8" s="1264"/>
      <c r="Q8" s="1264"/>
      <c r="R8" s="207"/>
      <c r="S8" s="65"/>
      <c r="T8" s="169"/>
      <c r="U8" s="169"/>
      <c r="V8" s="189"/>
      <c r="W8" s="189"/>
      <c r="X8" s="190" t="str">
        <f>Y7&amp;"-"&amp;AA7</f>
        <v>-</v>
      </c>
      <c r="Y8" s="1269"/>
      <c r="Z8" s="1127"/>
      <c r="AA8" s="1269"/>
      <c r="AB8" s="1127"/>
      <c r="AC8" s="189"/>
      <c r="AD8" s="189"/>
      <c r="AE8" s="190" t="str">
        <f>AF7&amp;"-"&amp;AH7</f>
        <v>-</v>
      </c>
      <c r="AF8" s="1269"/>
      <c r="AG8" s="1127"/>
      <c r="AH8" s="1288"/>
      <c r="AI8" s="1127"/>
      <c r="AJ8" s="379"/>
      <c r="AK8" s="1330"/>
      <c r="AM8" s="69"/>
      <c r="AN8" s="69" t="str">
        <f t="shared" si="0"/>
        <v/>
      </c>
      <c r="AO8" s="69"/>
      <c r="AP8" s="69"/>
    </row>
    <row r="9" spans="1:42" ht="21" hidden="1" customHeight="1">
      <c r="A9" s="759"/>
      <c r="B9" s="759"/>
      <c r="C9" s="759"/>
      <c r="D9" s="759"/>
      <c r="E9" s="1266"/>
      <c r="F9" s="1266"/>
      <c r="G9" s="1266"/>
      <c r="H9" s="1266"/>
      <c r="I9" s="1286"/>
      <c r="J9" s="1263"/>
      <c r="K9" s="759"/>
      <c r="L9" s="760"/>
      <c r="P9" s="1264"/>
      <c r="Q9" s="1264"/>
      <c r="R9" s="206"/>
      <c r="S9" s="732"/>
      <c r="T9" s="164" t="s">
        <v>485</v>
      </c>
      <c r="U9" s="211"/>
      <c r="V9" s="211"/>
      <c r="W9" s="211"/>
      <c r="X9" s="211"/>
      <c r="Y9" s="211"/>
      <c r="Z9" s="211"/>
      <c r="AA9" s="211"/>
      <c r="AB9" s="211"/>
      <c r="AC9" s="211"/>
      <c r="AD9" s="211"/>
      <c r="AE9" s="211"/>
      <c r="AF9" s="211"/>
      <c r="AG9" s="211"/>
      <c r="AH9" s="211"/>
      <c r="AI9" s="211"/>
      <c r="AJ9" s="211"/>
      <c r="AK9" s="718" t="s">
        <v>486</v>
      </c>
      <c r="AM9" s="69"/>
      <c r="AN9" s="69" t="str">
        <f t="shared" si="0"/>
        <v>Добавить значение признака дифференциации</v>
      </c>
      <c r="AO9" s="69"/>
      <c r="AP9" s="69"/>
    </row>
    <row r="10" spans="1:42" ht="21" hidden="1" customHeight="1">
      <c r="A10" s="759"/>
      <c r="B10" s="759"/>
      <c r="C10" s="759"/>
      <c r="D10" s="759"/>
      <c r="E10" s="1266"/>
      <c r="F10" s="1266"/>
      <c r="G10" s="1266"/>
      <c r="H10" s="1266"/>
      <c r="I10" s="1263"/>
      <c r="J10" s="759"/>
      <c r="K10" s="759"/>
      <c r="L10" s="760"/>
      <c r="P10" s="1264"/>
      <c r="Q10" s="120"/>
      <c r="R10" s="206"/>
      <c r="S10" s="732"/>
      <c r="T10" s="209" t="s">
        <v>411</v>
      </c>
      <c r="U10" s="211"/>
      <c r="V10" s="211"/>
      <c r="W10" s="211"/>
      <c r="X10" s="211"/>
      <c r="Y10" s="211"/>
      <c r="Z10" s="211"/>
      <c r="AA10" s="211"/>
      <c r="AB10" s="210"/>
      <c r="AC10" s="211"/>
      <c r="AD10" s="211"/>
      <c r="AE10" s="211"/>
      <c r="AF10" s="211"/>
      <c r="AG10" s="211"/>
      <c r="AH10" s="211"/>
      <c r="AI10" s="210"/>
      <c r="AJ10" s="211"/>
      <c r="AK10" s="804"/>
      <c r="AM10" s="69"/>
      <c r="AN10" s="69" t="str">
        <f t="shared" si="0"/>
        <v>Добавить группу потребителей</v>
      </c>
      <c r="AO10" s="69"/>
      <c r="AP10" s="69"/>
    </row>
    <row r="11" spans="1:42" ht="21" hidden="1" customHeight="1">
      <c r="A11" s="759"/>
      <c r="B11" s="759"/>
      <c r="C11" s="759"/>
      <c r="D11" s="759"/>
      <c r="E11" s="1266"/>
      <c r="F11" s="1266"/>
      <c r="G11" s="1266"/>
      <c r="H11" s="1265"/>
      <c r="I11" s="759"/>
      <c r="J11" s="759"/>
      <c r="K11" s="759"/>
      <c r="L11" s="760"/>
      <c r="M11" s="417"/>
      <c r="N11" s="417"/>
      <c r="O11" s="63"/>
      <c r="P11" s="35"/>
      <c r="Q11" s="214"/>
      <c r="R11" s="205"/>
      <c r="S11" s="732"/>
      <c r="T11" s="105" t="s">
        <v>487</v>
      </c>
      <c r="U11" s="211"/>
      <c r="V11" s="211"/>
      <c r="W11" s="211"/>
      <c r="X11" s="211"/>
      <c r="Y11" s="211"/>
      <c r="Z11" s="211"/>
      <c r="AA11" s="211"/>
      <c r="AB11" s="210"/>
      <c r="AC11" s="211"/>
      <c r="AD11" s="211"/>
      <c r="AE11" s="211"/>
      <c r="AF11" s="211"/>
      <c r="AG11" s="211"/>
      <c r="AH11" s="211"/>
      <c r="AI11" s="210"/>
      <c r="AJ11" s="211"/>
      <c r="AK11" s="172"/>
      <c r="AM11" s="69"/>
      <c r="AN11" s="69" t="str">
        <f t="shared" si="0"/>
        <v>Добавить наименование признака дифференциации</v>
      </c>
      <c r="AO11" s="69"/>
      <c r="AP11" s="69"/>
    </row>
    <row r="12" spans="1:42" s="68" customFormat="1" ht="14.25" hidden="1" customHeight="1">
      <c r="A12" s="143"/>
      <c r="B12" s="143"/>
      <c r="C12" s="143"/>
      <c r="D12" s="143"/>
      <c r="E12" s="1266"/>
      <c r="F12" s="1265"/>
      <c r="G12" s="143"/>
      <c r="H12" s="143"/>
      <c r="I12" s="143"/>
      <c r="J12" s="143"/>
      <c r="K12" s="143"/>
      <c r="L12" s="338"/>
      <c r="M12" s="749"/>
      <c r="N12" s="749"/>
      <c r="P12" s="102"/>
      <c r="Q12" s="745"/>
      <c r="R12" s="102"/>
      <c r="S12" s="750"/>
      <c r="T12" s="752" t="s">
        <v>414</v>
      </c>
      <c r="U12" s="311"/>
      <c r="V12" s="311"/>
      <c r="W12" s="311"/>
      <c r="X12" s="311"/>
      <c r="Y12" s="311"/>
      <c r="Z12" s="311"/>
      <c r="AA12" s="311"/>
      <c r="AB12" s="311"/>
      <c r="AC12" s="311"/>
      <c r="AD12" s="311"/>
      <c r="AE12" s="311"/>
      <c r="AF12" s="311"/>
      <c r="AG12" s="311"/>
      <c r="AH12" s="311"/>
      <c r="AI12" s="311"/>
      <c r="AJ12" s="311"/>
      <c r="AK12" s="311"/>
      <c r="AM12" s="69"/>
      <c r="AN12" s="69" t="str">
        <f t="shared" si="0"/>
        <v>Добавить централизованную систему для дифференциации</v>
      </c>
      <c r="AO12" s="69"/>
      <c r="AP12" s="69"/>
    </row>
    <row r="13" spans="1:42" s="68" customFormat="1" ht="14.25" hidden="1" customHeight="1">
      <c r="A13" s="143"/>
      <c r="B13" s="143"/>
      <c r="C13" s="143"/>
      <c r="D13" s="143"/>
      <c r="E13" s="1265"/>
      <c r="F13" s="143"/>
      <c r="G13" s="143"/>
      <c r="H13" s="143"/>
      <c r="I13" s="143"/>
      <c r="J13" s="143"/>
      <c r="K13" s="143"/>
      <c r="L13" s="338"/>
      <c r="M13" s="749"/>
      <c r="N13" s="749"/>
      <c r="P13" s="102"/>
      <c r="Q13" s="745"/>
      <c r="R13" s="102"/>
      <c r="S13" s="750"/>
      <c r="T13" s="752" t="s">
        <v>415</v>
      </c>
      <c r="U13" s="311"/>
      <c r="V13" s="311"/>
      <c r="W13" s="311"/>
      <c r="X13" s="311"/>
      <c r="Y13" s="311"/>
      <c r="Z13" s="311"/>
      <c r="AA13" s="311"/>
      <c r="AB13" s="311"/>
      <c r="AC13" s="311"/>
      <c r="AD13" s="311"/>
      <c r="AE13" s="311"/>
      <c r="AF13" s="311"/>
      <c r="AG13" s="311"/>
      <c r="AH13" s="311"/>
      <c r="AI13" s="311"/>
      <c r="AJ13" s="311"/>
      <c r="AK13" s="311"/>
      <c r="AM13" s="69"/>
      <c r="AN13" s="69" t="str">
        <f t="shared" si="0"/>
        <v>Добавить территорию для дифференциации</v>
      </c>
      <c r="AO13" s="69"/>
      <c r="AP13" s="69"/>
    </row>
    <row r="14" spans="1:42" ht="14.25" hidden="1" customHeight="1"/>
    <row r="15" spans="1:42" ht="14.25" hidden="1" customHeight="1">
      <c r="AC15" s="359"/>
      <c r="AD15" s="359"/>
      <c r="AE15" s="758"/>
      <c r="AF15" s="1270"/>
      <c r="AG15" s="1271" t="s">
        <v>62</v>
      </c>
      <c r="AH15" s="1270"/>
      <c r="AI15" s="1271" t="s">
        <v>62</v>
      </c>
    </row>
    <row r="16" spans="1:42" ht="14.25" hidden="1" customHeight="1">
      <c r="AC16" s="359"/>
      <c r="AD16" s="359"/>
      <c r="AE16" s="190" t="str">
        <f>AF15&amp;"-"&amp;AH15</f>
        <v>-</v>
      </c>
      <c r="AF16" s="1271"/>
      <c r="AG16" s="1271"/>
      <c r="AH16" s="1271"/>
      <c r="AI16" s="1271"/>
    </row>
    <row r="17" spans="1:42" ht="14.25" hidden="1" customHeight="1"/>
    <row r="18" spans="1:42" s="63" customFormat="1" ht="22.5" hidden="1" customHeight="1">
      <c r="L18" s="299"/>
      <c r="M18" s="497"/>
      <c r="N18" s="497"/>
      <c r="O18" s="761" t="s">
        <v>416</v>
      </c>
      <c r="P18" s="497"/>
      <c r="Q18" s="762"/>
      <c r="R18" s="762"/>
      <c r="S18" s="417"/>
      <c r="Y18" s="761"/>
      <c r="AA18" s="761"/>
      <c r="AF18" s="761"/>
      <c r="AH18" s="761"/>
      <c r="AL18" s="68"/>
      <c r="AM18" s="68"/>
      <c r="AN18" s="68"/>
      <c r="AO18" s="68"/>
      <c r="AP18" s="68"/>
    </row>
    <row r="19" spans="1:42" s="63" customFormat="1" ht="14.25" hidden="1" customHeight="1">
      <c r="L19" s="299"/>
      <c r="M19" s="497"/>
      <c r="N19" s="497"/>
      <c r="O19" s="497"/>
      <c r="P19" s="497"/>
      <c r="Q19" s="762"/>
      <c r="R19" s="762"/>
      <c r="S19" s="417"/>
      <c r="AL19" s="68"/>
      <c r="AM19" s="68"/>
      <c r="AN19" s="68"/>
      <c r="AO19" s="68"/>
      <c r="AP19" s="68"/>
    </row>
    <row r="20" spans="1:42" s="63" customFormat="1" ht="12" hidden="1" customHeight="1">
      <c r="L20" s="299"/>
      <c r="M20" s="497"/>
      <c r="N20" s="497"/>
      <c r="O20" s="760" t="s">
        <v>417</v>
      </c>
      <c r="P20" s="497"/>
      <c r="Q20" s="805"/>
      <c r="R20" s="805"/>
      <c r="S20" s="417"/>
      <c r="T20" s="63" t="s">
        <v>418</v>
      </c>
      <c r="Z20" s="81" t="s">
        <v>419</v>
      </c>
      <c r="AB20" s="81" t="s">
        <v>420</v>
      </c>
      <c r="AC20" s="63" t="s">
        <v>418</v>
      </c>
      <c r="AG20" s="81" t="s">
        <v>421</v>
      </c>
      <c r="AI20" s="81" t="s">
        <v>420</v>
      </c>
    </row>
    <row r="21" spans="1:42" ht="14.25" hidden="1" customHeight="1">
      <c r="O21" s="760"/>
    </row>
    <row r="22" spans="1:42" ht="14.25" hidden="1" customHeight="1">
      <c r="O22" s="760"/>
    </row>
    <row r="23" spans="1:42" ht="14.25" customHeight="1">
      <c r="Q23" s="29"/>
      <c r="R23" s="29"/>
      <c r="S23" s="729"/>
      <c r="T23" s="11"/>
      <c r="U23" s="11"/>
    </row>
    <row r="24" spans="1:42" ht="14.25" customHeight="1">
      <c r="Q24" s="29"/>
      <c r="R24" s="29"/>
      <c r="S24" s="1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49"/>
      <c r="U24" s="1249"/>
      <c r="V24" s="1249"/>
      <c r="W24" s="1249"/>
      <c r="X24" s="1249"/>
      <c r="Y24" s="1249"/>
      <c r="Z24" s="1249"/>
      <c r="AA24" s="1249"/>
      <c r="AB24" s="1249"/>
      <c r="AC24" s="1249"/>
      <c r="AD24" s="1249"/>
      <c r="AE24" s="1249"/>
      <c r="AF24" s="1249"/>
      <c r="AG24" s="1249"/>
      <c r="AH24" s="1249"/>
      <c r="AI24" s="60"/>
    </row>
    <row r="25" spans="1:42" ht="14.25" customHeight="1">
      <c r="Q25" s="29"/>
      <c r="R25" s="29"/>
      <c r="S25" s="1194" t="str">
        <f>IF(org=0,"Не определено",org)</f>
        <v>АО "ХТК"</v>
      </c>
      <c r="T25" s="1194"/>
      <c r="U25" s="1194"/>
      <c r="V25" s="1194"/>
      <c r="W25" s="1194"/>
      <c r="X25" s="1194"/>
      <c r="Y25" s="1194"/>
      <c r="Z25" s="1194"/>
      <c r="AA25" s="1194"/>
      <c r="AB25" s="1194"/>
      <c r="AC25" s="1194"/>
      <c r="AD25" s="1194"/>
      <c r="AE25" s="1194"/>
      <c r="AF25" s="1194"/>
      <c r="AG25" s="1194"/>
      <c r="AH25" s="1194"/>
      <c r="AI25" s="60"/>
    </row>
    <row r="26" spans="1:42" ht="14.25" hidden="1" customHeight="1">
      <c r="Q26" s="29"/>
      <c r="R26" s="29"/>
      <c r="S26" s="729"/>
      <c r="T26" s="11"/>
      <c r="U26" s="11"/>
      <c r="V26" s="187"/>
      <c r="W26" s="187"/>
      <c r="X26" s="187"/>
      <c r="Y26" s="187"/>
      <c r="Z26" s="187"/>
      <c r="AA26" s="187"/>
      <c r="AB26" s="187"/>
      <c r="AC26" s="187"/>
      <c r="AD26" s="187"/>
      <c r="AE26" s="187"/>
      <c r="AF26" s="187"/>
      <c r="AG26" s="187"/>
      <c r="AH26" s="187"/>
      <c r="AI26" s="187"/>
    </row>
    <row r="27" spans="1:42" s="36" customFormat="1" ht="25.5" hidden="1" customHeight="1">
      <c r="A27" s="81"/>
      <c r="B27" s="81"/>
      <c r="C27" s="81"/>
      <c r="D27" s="81"/>
      <c r="E27" s="81"/>
      <c r="F27" s="81"/>
      <c r="G27" s="81"/>
      <c r="H27" s="81"/>
      <c r="I27" s="81"/>
      <c r="J27" s="81"/>
      <c r="K27" s="81"/>
      <c r="L27" s="760"/>
      <c r="M27" s="81"/>
      <c r="N27" s="81"/>
      <c r="O27" s="81"/>
      <c r="S27" s="1257" t="s">
        <v>37</v>
      </c>
      <c r="T27" s="1257"/>
      <c r="U27" s="763"/>
      <c r="V27" s="1258" t="str">
        <f>IF(TITLE_NAME_OR_PR_CHANGE="",IF(TITLE_NAME_OR_PR="","",TITLE_NAME_OR_PR),TITLE_NAME_OR_PR_CHANGE)</f>
        <v/>
      </c>
      <c r="W27" s="1258"/>
      <c r="X27" s="1258"/>
      <c r="Y27" s="1258"/>
      <c r="Z27" s="1258"/>
      <c r="AA27" s="1258"/>
      <c r="AB27" s="12"/>
      <c r="AC27" s="1258" t="str">
        <f>IF(TITLE_NAME_OR_PR_CHANGE="",IF(TITLE_NAME_OR_PR="","",TITLE_NAME_OR_PR),TITLE_NAME_OR_PR_CHANGE)</f>
        <v/>
      </c>
      <c r="AD27" s="1258"/>
      <c r="AE27" s="1258"/>
      <c r="AF27" s="1258"/>
      <c r="AG27" s="1258"/>
      <c r="AH27" s="1258"/>
      <c r="AI27" s="12"/>
      <c r="AJ27" s="12"/>
      <c r="AK27" s="161"/>
      <c r="AL27" s="69"/>
      <c r="AM27" s="69"/>
      <c r="AN27" s="69"/>
      <c r="AO27" s="69"/>
      <c r="AP27" s="69"/>
    </row>
    <row r="28" spans="1:42" s="36" customFormat="1" ht="18.75" hidden="1" customHeight="1">
      <c r="A28" s="81"/>
      <c r="B28" s="81"/>
      <c r="C28" s="81"/>
      <c r="D28" s="81"/>
      <c r="E28" s="81"/>
      <c r="F28" s="81"/>
      <c r="G28" s="81"/>
      <c r="H28" s="81"/>
      <c r="I28" s="81"/>
      <c r="J28" s="81"/>
      <c r="K28" s="81"/>
      <c r="L28" s="760"/>
      <c r="M28" s="81"/>
      <c r="N28" s="81"/>
      <c r="O28" s="81"/>
      <c r="S28" s="1257" t="s">
        <v>422</v>
      </c>
      <c r="T28" s="1257"/>
      <c r="U28" s="763"/>
      <c r="V28" s="1267" t="str">
        <f>IF(TITLE_DATE_PR_CHANGE="",IF(TITLE_DATE_PR="","",TITLE_DATE_PR),TITLE_DATE_PR_CHANGE)</f>
        <v/>
      </c>
      <c r="W28" s="1267"/>
      <c r="X28" s="1267"/>
      <c r="Y28" s="1267"/>
      <c r="Z28" s="1267"/>
      <c r="AA28" s="1267"/>
      <c r="AB28" s="12"/>
      <c r="AC28" s="1267" t="str">
        <f>IF(TITLE_DATE_PR_CHANGE="",IF(TITLE_DATE_PR="","",TITLE_DATE_PR),TITLE_DATE_PR_CHANGE)</f>
        <v/>
      </c>
      <c r="AD28" s="1267"/>
      <c r="AE28" s="1267"/>
      <c r="AF28" s="1267"/>
      <c r="AG28" s="1267"/>
      <c r="AH28" s="1267"/>
      <c r="AI28" s="12"/>
      <c r="AJ28" s="12"/>
      <c r="AK28" s="161"/>
      <c r="AL28" s="69"/>
      <c r="AM28" s="69"/>
      <c r="AN28" s="69"/>
      <c r="AO28" s="69"/>
      <c r="AP28" s="69"/>
    </row>
    <row r="29" spans="1:42" s="36" customFormat="1" ht="18.75" hidden="1" customHeight="1">
      <c r="A29" s="81"/>
      <c r="B29" s="81"/>
      <c r="C29" s="81"/>
      <c r="D29" s="81"/>
      <c r="E29" s="81"/>
      <c r="F29" s="81"/>
      <c r="G29" s="81"/>
      <c r="H29" s="81"/>
      <c r="I29" s="81"/>
      <c r="J29" s="81"/>
      <c r="K29" s="81"/>
      <c r="L29" s="760"/>
      <c r="M29" s="81"/>
      <c r="N29" s="81"/>
      <c r="O29" s="81"/>
      <c r="S29" s="1257" t="s">
        <v>423</v>
      </c>
      <c r="T29" s="1257"/>
      <c r="U29" s="763"/>
      <c r="V29" s="1258" t="str">
        <f>IF(TITLE_NUMBER_PR_CHANGE="",IF(TITLE_NUMBER_PR="","",TITLE_NUMBER_PR),TITLE_NUMBER_PR_CHANGE)</f>
        <v/>
      </c>
      <c r="W29" s="1258"/>
      <c r="X29" s="1258"/>
      <c r="Y29" s="1258"/>
      <c r="Z29" s="1258"/>
      <c r="AA29" s="1258"/>
      <c r="AB29" s="12"/>
      <c r="AC29" s="1258" t="str">
        <f>IF(TITLE_NUMBER_PR_CHANGE="",IF(TITLE_NUMBER_PR="","",TITLE_NUMBER_PR),TITLE_NUMBER_PR_CHANGE)</f>
        <v/>
      </c>
      <c r="AD29" s="1258"/>
      <c r="AE29" s="1258"/>
      <c r="AF29" s="1258"/>
      <c r="AG29" s="1258"/>
      <c r="AH29" s="1258"/>
      <c r="AI29" s="12"/>
      <c r="AJ29" s="12"/>
      <c r="AK29" s="161"/>
      <c r="AL29" s="69"/>
      <c r="AM29" s="69"/>
      <c r="AN29" s="69"/>
      <c r="AO29" s="69"/>
      <c r="AP29" s="69"/>
    </row>
    <row r="30" spans="1:42" s="36" customFormat="1" ht="18.75" hidden="1" customHeight="1">
      <c r="A30" s="81"/>
      <c r="B30" s="81"/>
      <c r="C30" s="81"/>
      <c r="D30" s="81"/>
      <c r="E30" s="81"/>
      <c r="F30" s="81"/>
      <c r="G30" s="81"/>
      <c r="H30" s="81"/>
      <c r="I30" s="81"/>
      <c r="J30" s="81"/>
      <c r="K30" s="81"/>
      <c r="L30" s="760"/>
      <c r="M30" s="81"/>
      <c r="N30" s="81"/>
      <c r="O30" s="81"/>
      <c r="S30" s="1257" t="s">
        <v>38</v>
      </c>
      <c r="T30" s="1257"/>
      <c r="U30" s="763"/>
      <c r="V30" s="1258" t="str">
        <f>IF(TITLE_IST_PUB_CHANGE="",IF(TITLE_IST_PUB="","",TITLE_IST_PUB),TITLE_IST_PUB_CHANGE)</f>
        <v/>
      </c>
      <c r="W30" s="1258"/>
      <c r="X30" s="1258"/>
      <c r="Y30" s="1258"/>
      <c r="Z30" s="1258"/>
      <c r="AA30" s="1258"/>
      <c r="AB30" s="12"/>
      <c r="AC30" s="1258" t="str">
        <f>IF(TITLE_IST_PUB_CHANGE="",IF(TITLE_IST_PUB="","",TITLE_IST_PUB),TITLE_IST_PUB_CHANGE)</f>
        <v/>
      </c>
      <c r="AD30" s="1258"/>
      <c r="AE30" s="1258"/>
      <c r="AF30" s="1258"/>
      <c r="AG30" s="1258"/>
      <c r="AH30" s="1258"/>
      <c r="AI30" s="12"/>
      <c r="AJ30" s="12"/>
      <c r="AK30" s="161"/>
      <c r="AL30" s="69"/>
      <c r="AM30" s="69"/>
      <c r="AN30" s="69"/>
      <c r="AO30" s="69"/>
      <c r="AP30" s="69"/>
    </row>
    <row r="31" spans="1:42" ht="14.25" hidden="1" customHeight="1">
      <c r="Q31" s="29"/>
      <c r="R31" s="29"/>
      <c r="S31" s="729"/>
      <c r="T31" s="11"/>
      <c r="U31" s="11"/>
      <c r="V31" s="187"/>
      <c r="W31" s="187"/>
      <c r="X31" s="187"/>
      <c r="Y31" s="187"/>
      <c r="Z31" s="187"/>
      <c r="AA31" s="187"/>
      <c r="AB31" s="187"/>
      <c r="AC31" s="187"/>
      <c r="AD31" s="187"/>
      <c r="AE31" s="187"/>
      <c r="AF31" s="187"/>
      <c r="AG31" s="187"/>
      <c r="AH31" s="187"/>
      <c r="AI31" s="187"/>
    </row>
    <row r="32" spans="1:42" s="36" customFormat="1" ht="18.75" hidden="1" customHeight="1">
      <c r="A32" s="81"/>
      <c r="B32" s="81"/>
      <c r="C32" s="81"/>
      <c r="D32" s="81"/>
      <c r="E32" s="81"/>
      <c r="F32" s="81"/>
      <c r="G32" s="81"/>
      <c r="H32" s="81"/>
      <c r="I32" s="81"/>
      <c r="J32" s="81"/>
      <c r="K32" s="81"/>
      <c r="L32" s="760"/>
      <c r="M32" s="81"/>
      <c r="N32" s="81"/>
      <c r="O32" s="81"/>
      <c r="S32" s="1257" t="s">
        <v>424</v>
      </c>
      <c r="T32" s="1257"/>
      <c r="U32" s="763"/>
      <c r="V32" s="1267" t="str">
        <f>IF(TITLE_DATE_PR_CHANGE="",IF(TITLE_DATE_PR="","",TITLE_DATE_PR),TITLE_DATE_PR_CHANGE)</f>
        <v/>
      </c>
      <c r="W32" s="1267"/>
      <c r="X32" s="1267"/>
      <c r="Y32" s="1267"/>
      <c r="Z32" s="1267"/>
      <c r="AA32" s="1267"/>
      <c r="AB32" s="12"/>
      <c r="AC32" s="1267" t="str">
        <f>IF(TITLE_DATE_PR_CHANGE="",IF(TITLE_DATE_PR="","",TITLE_DATE_PR),TITLE_DATE_PR_CHANGE)</f>
        <v/>
      </c>
      <c r="AD32" s="1267"/>
      <c r="AE32" s="1267"/>
      <c r="AF32" s="1267"/>
      <c r="AG32" s="1267"/>
      <c r="AH32" s="1267"/>
      <c r="AI32" s="12"/>
      <c r="AJ32" s="12"/>
      <c r="AK32" s="161"/>
      <c r="AL32" s="69"/>
      <c r="AM32" s="69"/>
      <c r="AN32" s="69"/>
      <c r="AO32" s="69"/>
      <c r="AP32" s="69"/>
    </row>
    <row r="33" spans="1:42" s="36" customFormat="1" ht="18.75" hidden="1" customHeight="1">
      <c r="A33" s="81"/>
      <c r="B33" s="81"/>
      <c r="C33" s="81"/>
      <c r="D33" s="81"/>
      <c r="E33" s="81"/>
      <c r="F33" s="81"/>
      <c r="G33" s="81"/>
      <c r="H33" s="81"/>
      <c r="I33" s="81"/>
      <c r="J33" s="81"/>
      <c r="K33" s="81"/>
      <c r="L33" s="760"/>
      <c r="M33" s="81"/>
      <c r="N33" s="81"/>
      <c r="O33" s="81"/>
      <c r="S33" s="1257" t="s">
        <v>425</v>
      </c>
      <c r="T33" s="1257"/>
      <c r="U33" s="763"/>
      <c r="V33" s="1258" t="str">
        <f>IF(TITLE_NUMBER_PR_CHANGE="",IF(TITLE_NUMBER_PR="","",TITLE_NUMBER_PR),TITLE_NUMBER_PR_CHANGE)</f>
        <v/>
      </c>
      <c r="W33" s="1258"/>
      <c r="X33" s="1258"/>
      <c r="Y33" s="1258"/>
      <c r="Z33" s="1258"/>
      <c r="AA33" s="1258"/>
      <c r="AB33" s="12"/>
      <c r="AC33" s="1258" t="str">
        <f>IF(TITLE_NUMBER_PR_CHANGE="",IF(TITLE_NUMBER_PR="","",TITLE_NUMBER_PR),TITLE_NUMBER_PR_CHANGE)</f>
        <v/>
      </c>
      <c r="AD33" s="1258"/>
      <c r="AE33" s="1258"/>
      <c r="AF33" s="1258"/>
      <c r="AG33" s="1258"/>
      <c r="AH33" s="1258"/>
      <c r="AI33" s="12"/>
      <c r="AJ33" s="12"/>
      <c r="AK33" s="161"/>
      <c r="AL33" s="69"/>
      <c r="AM33" s="69"/>
      <c r="AN33" s="69"/>
      <c r="AO33" s="69"/>
      <c r="AP33" s="69"/>
    </row>
    <row r="34" spans="1:42" s="36" customFormat="1" ht="0.75" customHeight="1">
      <c r="A34" s="81"/>
      <c r="B34" s="81"/>
      <c r="C34" s="81"/>
      <c r="D34" s="81"/>
      <c r="E34" s="81"/>
      <c r="F34" s="81"/>
      <c r="G34" s="81"/>
      <c r="H34" s="81"/>
      <c r="I34" s="81"/>
      <c r="J34" s="81"/>
      <c r="K34" s="81"/>
      <c r="L34" s="760"/>
      <c r="M34" s="81"/>
      <c r="N34" s="81"/>
      <c r="O34" s="81"/>
      <c r="S34" s="12"/>
      <c r="T34" s="12"/>
      <c r="U34" s="77"/>
      <c r="V34" s="12"/>
      <c r="W34" s="12"/>
      <c r="X34" s="12"/>
      <c r="Y34" s="12"/>
      <c r="Z34" s="12"/>
      <c r="AA34" s="12"/>
      <c r="AB34" s="68" t="s">
        <v>426</v>
      </c>
      <c r="AC34" s="12"/>
      <c r="AD34" s="12"/>
      <c r="AE34" s="12"/>
      <c r="AF34" s="12"/>
      <c r="AG34" s="12"/>
      <c r="AH34" s="12"/>
      <c r="AI34" s="68" t="s">
        <v>426</v>
      </c>
      <c r="AL34" s="69"/>
      <c r="AM34" s="69"/>
      <c r="AN34" s="69"/>
      <c r="AO34" s="69"/>
      <c r="AP34" s="69"/>
    </row>
    <row r="35" spans="1:42" ht="14.25" customHeight="1">
      <c r="Q35" s="29"/>
      <c r="R35" s="29"/>
      <c r="S35" s="729"/>
      <c r="T35" s="11"/>
      <c r="U35" s="709"/>
      <c r="V35" s="1259"/>
      <c r="W35" s="1259"/>
      <c r="X35" s="1259"/>
      <c r="Y35" s="1259"/>
      <c r="Z35" s="1259"/>
      <c r="AA35" s="1259"/>
      <c r="AB35" s="1259"/>
      <c r="AC35" s="1259"/>
      <c r="AD35" s="1259"/>
      <c r="AE35" s="1259"/>
      <c r="AF35" s="1259"/>
      <c r="AG35" s="1259"/>
      <c r="AH35" s="1259"/>
      <c r="AI35" s="1259"/>
    </row>
    <row r="36" spans="1:42" ht="14.25" customHeight="1">
      <c r="Q36" s="29"/>
      <c r="R36" s="29"/>
      <c r="S36" s="1146" t="s">
        <v>299</v>
      </c>
      <c r="T36" s="1146"/>
      <c r="U36" s="1146"/>
      <c r="V36" s="1146"/>
      <c r="W36" s="1146"/>
      <c r="X36" s="1146"/>
      <c r="Y36" s="1146"/>
      <c r="Z36" s="1146"/>
      <c r="AA36" s="1146"/>
      <c r="AB36" s="1146"/>
      <c r="AC36" s="1146"/>
      <c r="AD36" s="1146"/>
      <c r="AE36" s="1146"/>
      <c r="AF36" s="1146"/>
      <c r="AG36" s="1146"/>
      <c r="AH36" s="1146"/>
      <c r="AI36" s="1146"/>
      <c r="AJ36" s="1146"/>
      <c r="AK36" s="1146" t="s">
        <v>300</v>
      </c>
    </row>
    <row r="37" spans="1:42" ht="14.25" customHeight="1">
      <c r="Q37" s="29"/>
      <c r="R37" s="29"/>
      <c r="S37" s="1273" t="s">
        <v>84</v>
      </c>
      <c r="T37" s="1224" t="s">
        <v>427</v>
      </c>
      <c r="U37" s="170"/>
      <c r="V37" s="1274" t="s">
        <v>428</v>
      </c>
      <c r="W37" s="1275"/>
      <c r="X37" s="1275"/>
      <c r="Y37" s="1275"/>
      <c r="Z37" s="1275"/>
      <c r="AA37" s="1276"/>
      <c r="AB37" s="1277" t="s">
        <v>429</v>
      </c>
      <c r="AC37" s="1274" t="s">
        <v>428</v>
      </c>
      <c r="AD37" s="1275"/>
      <c r="AE37" s="1275"/>
      <c r="AF37" s="1275"/>
      <c r="AG37" s="1275"/>
      <c r="AH37" s="1276"/>
      <c r="AI37" s="1277" t="s">
        <v>430</v>
      </c>
      <c r="AJ37" s="1280" t="s">
        <v>431</v>
      </c>
      <c r="AK37" s="1146"/>
    </row>
    <row r="38" spans="1:42" ht="33.75" customHeight="1">
      <c r="Q38" s="29"/>
      <c r="R38" s="29"/>
      <c r="S38" s="1273"/>
      <c r="T38" s="1224"/>
      <c r="U38" s="595"/>
      <c r="V38" s="332" t="s">
        <v>488</v>
      </c>
      <c r="W38" s="1117" t="s">
        <v>434</v>
      </c>
      <c r="X38" s="1116"/>
      <c r="Y38" s="1117" t="s">
        <v>435</v>
      </c>
      <c r="Z38" s="1122"/>
      <c r="AA38" s="1116"/>
      <c r="AB38" s="1278"/>
      <c r="AC38" s="332" t="s">
        <v>488</v>
      </c>
      <c r="AD38" s="1117" t="s">
        <v>434</v>
      </c>
      <c r="AE38" s="1116"/>
      <c r="AF38" s="1117" t="s">
        <v>435</v>
      </c>
      <c r="AG38" s="1122"/>
      <c r="AH38" s="1116"/>
      <c r="AI38" s="1278"/>
      <c r="AJ38" s="1281"/>
      <c r="AK38" s="1146"/>
    </row>
    <row r="39" spans="1:42" ht="33.75" customHeight="1">
      <c r="A39" s="81"/>
      <c r="B39" s="81" t="s">
        <v>136</v>
      </c>
      <c r="C39" s="81" t="s">
        <v>137</v>
      </c>
      <c r="D39" s="81" t="s">
        <v>138</v>
      </c>
      <c r="E39" s="760" t="s">
        <v>436</v>
      </c>
      <c r="F39" s="760" t="s">
        <v>437</v>
      </c>
      <c r="G39" s="760" t="s">
        <v>438</v>
      </c>
      <c r="H39" s="760"/>
      <c r="I39" s="760" t="s">
        <v>489</v>
      </c>
      <c r="J39" s="760" t="s">
        <v>441</v>
      </c>
      <c r="K39" s="760" t="s">
        <v>490</v>
      </c>
      <c r="L39" s="760" t="s">
        <v>417</v>
      </c>
      <c r="Q39" s="29"/>
      <c r="R39" s="29"/>
      <c r="S39" s="1273"/>
      <c r="T39" s="1224"/>
      <c r="U39" s="171"/>
      <c r="V39" s="332" t="s">
        <v>491</v>
      </c>
      <c r="W39" s="40" t="s">
        <v>492</v>
      </c>
      <c r="X39" s="40" t="s">
        <v>493</v>
      </c>
      <c r="Y39" s="40" t="s">
        <v>445</v>
      </c>
      <c r="Z39" s="1233" t="s">
        <v>446</v>
      </c>
      <c r="AA39" s="1235"/>
      <c r="AB39" s="1279"/>
      <c r="AC39" s="332" t="s">
        <v>491</v>
      </c>
      <c r="AD39" s="40" t="s">
        <v>492</v>
      </c>
      <c r="AE39" s="40" t="s">
        <v>493</v>
      </c>
      <c r="AF39" s="40" t="s">
        <v>445</v>
      </c>
      <c r="AG39" s="1233" t="s">
        <v>446</v>
      </c>
      <c r="AH39" s="1235"/>
      <c r="AI39" s="1279"/>
      <c r="AJ39" s="1282"/>
      <c r="AK39" s="1146"/>
    </row>
    <row r="40" spans="1:42" s="201" customFormat="1" ht="0" hidden="1" customHeight="1">
      <c r="A40" s="81"/>
      <c r="B40" s="81"/>
      <c r="C40" s="81"/>
      <c r="D40" s="81"/>
      <c r="E40" s="81"/>
      <c r="F40" s="81"/>
      <c r="G40" s="81"/>
      <c r="H40" s="81"/>
      <c r="I40" s="81"/>
      <c r="J40" s="81"/>
      <c r="K40" s="81"/>
      <c r="L40" s="760"/>
      <c r="M40" s="497"/>
      <c r="N40" s="497"/>
      <c r="O40" s="497"/>
      <c r="P40" s="711"/>
      <c r="Q40" s="712"/>
      <c r="R40" s="714">
        <v>1</v>
      </c>
      <c r="S40" s="731" t="s">
        <v>105</v>
      </c>
      <c r="T40" s="715" t="s">
        <v>106</v>
      </c>
      <c r="U40" s="710" t="str">
        <f ca="1">OFFSET(U40,0,-1)</f>
        <v>2</v>
      </c>
      <c r="V40" s="716">
        <f ca="1">OFFSET(V40,0,-1)+1</f>
        <v>3</v>
      </c>
      <c r="W40" s="716">
        <f ca="1">OFFSET(W40,0,-1)+1</f>
        <v>4</v>
      </c>
      <c r="X40" s="716">
        <f ca="1">OFFSET(X40,0,-1)+1</f>
        <v>5</v>
      </c>
      <c r="Y40" s="716">
        <f ca="1">OFFSET(Y40,0,-1)+1</f>
        <v>6</v>
      </c>
      <c r="Z40" s="1272">
        <f ca="1">OFFSET(Z40,0,-1)+1</f>
        <v>7</v>
      </c>
      <c r="AA40" s="1272"/>
      <c r="AB40" s="716">
        <f ca="1">OFFSET(AB40,0,-2)+1</f>
        <v>8</v>
      </c>
      <c r="AC40" s="716">
        <f ca="1">OFFSET(AC40,0,-1)+1</f>
        <v>9</v>
      </c>
      <c r="AD40" s="716">
        <f ca="1">OFFSET(AD40,0,-1)+1</f>
        <v>10</v>
      </c>
      <c r="AE40" s="716">
        <f ca="1">OFFSET(AE40,0,-1)+1</f>
        <v>11</v>
      </c>
      <c r="AF40" s="716">
        <f ca="1">OFFSET(AF40,0,-1)+1</f>
        <v>12</v>
      </c>
      <c r="AG40" s="1272">
        <f ca="1">OFFSET(AG40,0,-1)+1</f>
        <v>13</v>
      </c>
      <c r="AH40" s="1272"/>
      <c r="AI40" s="716">
        <f ca="1">OFFSET(AI40,0,-2)+1</f>
        <v>14</v>
      </c>
      <c r="AJ40" s="710">
        <f ca="1">OFFSET(AJ40,0,-1)</f>
        <v>14</v>
      </c>
      <c r="AK40" s="716">
        <f ca="1">OFFSET(AK40,0,-1)+1</f>
        <v>15</v>
      </c>
      <c r="AL40" s="68"/>
      <c r="AM40" s="68"/>
      <c r="AN40" s="68"/>
      <c r="AO40" s="68"/>
      <c r="AP40" s="68"/>
    </row>
    <row r="41" spans="1:42" ht="23.25" customHeight="1">
      <c r="A41" s="759" t="s">
        <v>240</v>
      </c>
      <c r="B41" s="759"/>
      <c r="C41" s="759"/>
      <c r="D41" s="759"/>
      <c r="E41" s="1265">
        <v>1</v>
      </c>
      <c r="F41" s="759"/>
      <c r="G41" s="759"/>
      <c r="H41" s="759"/>
      <c r="I41" s="759"/>
      <c r="J41" s="759"/>
      <c r="K41" s="759"/>
      <c r="L41" s="760"/>
      <c r="M41" s="417"/>
      <c r="N41" s="417"/>
      <c r="O41" s="417"/>
      <c r="Q41" s="35"/>
      <c r="R41" s="205"/>
      <c r="S41" s="698">
        <f>INDEX(PT_DIFFERENTIATION_NUM_NTAR,MATCH(A41,PT_DIFFERENTIATION_NTAR_ID,0))</f>
        <v>0</v>
      </c>
      <c r="T41" s="67" t="s">
        <v>124</v>
      </c>
      <c r="U41" s="169"/>
      <c r="V41" s="1251"/>
      <c r="W41" s="1252"/>
      <c r="X41" s="1252"/>
      <c r="Y41" s="1252"/>
      <c r="Z41" s="1252"/>
      <c r="AA41" s="1252"/>
      <c r="AB41" s="1253"/>
      <c r="AC41" s="1251" t="str">
        <f>INDEX(PT_DIFFERENTIATION_NTAR,MATCH(A41,PT_DIFFERENTIATION_NTAR_ID,0))</f>
        <v/>
      </c>
      <c r="AD41" s="1252"/>
      <c r="AE41" s="1252"/>
      <c r="AF41" s="1252"/>
      <c r="AG41" s="1252"/>
      <c r="AH41" s="1252"/>
      <c r="AI41" s="1252"/>
      <c r="AJ41" s="1253"/>
      <c r="AK41"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row>
    <row r="42" spans="1:42" ht="23.25" customHeight="1">
      <c r="A42" s="759" t="s">
        <v>240</v>
      </c>
      <c r="B42" s="759" t="s">
        <v>241</v>
      </c>
      <c r="C42" s="759"/>
      <c r="D42" s="759"/>
      <c r="E42" s="1266"/>
      <c r="F42" s="1265">
        <v>1</v>
      </c>
      <c r="G42" s="759"/>
      <c r="H42" s="759"/>
      <c r="I42" s="759"/>
      <c r="J42" s="759"/>
      <c r="K42" s="759"/>
      <c r="L42" s="760"/>
      <c r="M42" s="417"/>
      <c r="N42" s="417"/>
      <c r="O42" s="417"/>
      <c r="P42" s="59"/>
      <c r="Q42" s="202"/>
      <c r="R42" s="203"/>
      <c r="S42" s="698" t="str">
        <f>INDEX(PT_DIFFERENTIATION_NUM_TER,MATCH(B42,PT_DIFFERENTIATION_TER_ID,0))</f>
        <v>.</v>
      </c>
      <c r="T42" s="175" t="s">
        <v>396</v>
      </c>
      <c r="U42" s="169"/>
      <c r="V42" s="1251"/>
      <c r="W42" s="1252"/>
      <c r="X42" s="1252"/>
      <c r="Y42" s="1252"/>
      <c r="Z42" s="1252"/>
      <c r="AA42" s="1252"/>
      <c r="AB42" s="1253"/>
      <c r="AC42" s="1251" t="str">
        <f>INDEX(PT_DIFFERENTIATION_TER,MATCH(B42,PT_DIFFERENTIATION_TER_ID,0))</f>
        <v/>
      </c>
      <c r="AD42" s="1252"/>
      <c r="AE42" s="1252"/>
      <c r="AF42" s="1252"/>
      <c r="AG42" s="1252"/>
      <c r="AH42" s="1252"/>
      <c r="AI42" s="1252"/>
      <c r="AJ42" s="1253"/>
      <c r="AK42" s="718" t="s">
        <v>397</v>
      </c>
      <c r="AM42" s="69"/>
      <c r="AN42" s="69" t="str">
        <f t="shared" si="1"/>
        <v>Территория действия тарифа</v>
      </c>
      <c r="AO42" s="69"/>
      <c r="AP42" s="69"/>
    </row>
    <row r="43" spans="1:42" ht="23.25" customHeight="1">
      <c r="A43" s="759" t="s">
        <v>240</v>
      </c>
      <c r="B43" s="759" t="s">
        <v>241</v>
      </c>
      <c r="C43" s="759" t="s">
        <v>242</v>
      </c>
      <c r="D43" s="759"/>
      <c r="E43" s="1266"/>
      <c r="F43" s="1266"/>
      <c r="G43" s="1265">
        <v>1</v>
      </c>
      <c r="H43" s="759"/>
      <c r="I43" s="759"/>
      <c r="J43" s="759"/>
      <c r="K43" s="759"/>
      <c r="L43" s="760"/>
      <c r="M43" s="417"/>
      <c r="N43" s="417"/>
      <c r="O43" s="417"/>
      <c r="P43" s="204"/>
      <c r="Q43" s="202"/>
      <c r="R43" s="203"/>
      <c r="S43" s="698" t="str">
        <f>INDEX(PT_DIFFERENTIATION_NUM_CS,MATCH(C43,PT_DIFFERENTIATION_CS_ID,0))</f>
        <v>..</v>
      </c>
      <c r="T43" s="176" t="s">
        <v>480</v>
      </c>
      <c r="U43" s="169"/>
      <c r="V43" s="1251"/>
      <c r="W43" s="1252"/>
      <c r="X43" s="1252"/>
      <c r="Y43" s="1252"/>
      <c r="Z43" s="1252"/>
      <c r="AA43" s="1252"/>
      <c r="AB43" s="1253"/>
      <c r="AC43" s="1251" t="str">
        <f>INDEX(PT_DIFFERENTIATION_CS,MATCH(C43,PT_DIFFERENTIATION_CS_ID,0))</f>
        <v/>
      </c>
      <c r="AD43" s="1252"/>
      <c r="AE43" s="1252"/>
      <c r="AF43" s="1252"/>
      <c r="AG43" s="1252"/>
      <c r="AH43" s="1252"/>
      <c r="AI43" s="1252"/>
      <c r="AJ43" s="1253"/>
      <c r="AK43" s="718" t="s">
        <v>481</v>
      </c>
      <c r="AM43" s="69"/>
      <c r="AN43" s="69" t="str">
        <f t="shared" si="1"/>
        <v>Наименование централизованной системы холодного водоснабжения</v>
      </c>
      <c r="AO43" s="69"/>
      <c r="AP43" s="69"/>
    </row>
    <row r="44" spans="1:42" ht="23.25" customHeight="1">
      <c r="A44" s="759" t="s">
        <v>240</v>
      </c>
      <c r="B44" s="759" t="s">
        <v>241</v>
      </c>
      <c r="C44" s="759" t="s">
        <v>242</v>
      </c>
      <c r="D44" s="759" t="s">
        <v>497</v>
      </c>
      <c r="E44" s="1266"/>
      <c r="F44" s="1266"/>
      <c r="G44" s="1266"/>
      <c r="H44" s="1266"/>
      <c r="I44" s="1263" t="str">
        <f>S43&amp;".1"</f>
        <v>...1</v>
      </c>
      <c r="J44" s="759"/>
      <c r="K44" s="759"/>
      <c r="L44" s="760"/>
      <c r="P44" s="1264">
        <v>1</v>
      </c>
      <c r="Q44" s="120"/>
      <c r="R44" s="206"/>
      <c r="S44" s="698" t="str">
        <f>$I44</f>
        <v>...1</v>
      </c>
      <c r="T44" s="162" t="s">
        <v>482</v>
      </c>
      <c r="U44" s="169"/>
      <c r="V44" s="1331"/>
      <c r="W44" s="1332"/>
      <c r="X44" s="1332"/>
      <c r="Y44" s="1332"/>
      <c r="Z44" s="1332"/>
      <c r="AA44" s="1332"/>
      <c r="AB44" s="1333"/>
      <c r="AC44" s="1334"/>
      <c r="AD44" s="1335"/>
      <c r="AE44" s="1335"/>
      <c r="AF44" s="1335"/>
      <c r="AG44" s="1335"/>
      <c r="AH44" s="1335"/>
      <c r="AI44" s="1335"/>
      <c r="AJ44" s="1336"/>
      <c r="AK44" s="718" t="s">
        <v>483</v>
      </c>
      <c r="AM44" s="69"/>
      <c r="AN44" s="69" t="str">
        <f t="shared" si="1"/>
        <v>Наименование признака дифференциации</v>
      </c>
      <c r="AO44" s="69"/>
      <c r="AP44" s="69"/>
    </row>
    <row r="45" spans="1:42" ht="23.25" customHeight="1">
      <c r="A45" s="759" t="s">
        <v>240</v>
      </c>
      <c r="B45" s="759" t="s">
        <v>241</v>
      </c>
      <c r="C45" s="759" t="s">
        <v>242</v>
      </c>
      <c r="D45" s="759" t="s">
        <v>497</v>
      </c>
      <c r="E45" s="1266"/>
      <c r="F45" s="1266"/>
      <c r="G45" s="1266"/>
      <c r="H45" s="1266"/>
      <c r="I45" s="1286"/>
      <c r="J45" s="1263" t="str">
        <f>I44&amp;".1"</f>
        <v>...1.1</v>
      </c>
      <c r="K45" s="759"/>
      <c r="L45" s="760" t="s">
        <v>405</v>
      </c>
      <c r="P45" s="1264"/>
      <c r="Q45" s="1264">
        <v>1</v>
      </c>
      <c r="R45" s="207"/>
      <c r="S45" s="698" t="str">
        <f>$J45</f>
        <v>...1.1</v>
      </c>
      <c r="T45" s="163" t="s">
        <v>406</v>
      </c>
      <c r="U45" s="169"/>
      <c r="V45" s="1254"/>
      <c r="W45" s="1255"/>
      <c r="X45" s="1255"/>
      <c r="Y45" s="1255"/>
      <c r="Z45" s="1255"/>
      <c r="AA45" s="1255"/>
      <c r="AB45" s="1256"/>
      <c r="AC45" s="1254"/>
      <c r="AD45" s="1255"/>
      <c r="AE45" s="1255"/>
      <c r="AF45" s="1255"/>
      <c r="AG45" s="1255"/>
      <c r="AH45" s="1255"/>
      <c r="AI45" s="1255"/>
      <c r="AJ45" s="1256"/>
      <c r="AK45" s="743" t="s">
        <v>484</v>
      </c>
      <c r="AM45" s="69"/>
      <c r="AN45" s="69" t="str">
        <f t="shared" si="1"/>
        <v>Группа потребителей</v>
      </c>
      <c r="AO45" s="69"/>
      <c r="AP45" s="69"/>
    </row>
    <row r="46" spans="1:42" ht="23.25" customHeight="1">
      <c r="A46" s="759" t="s">
        <v>240</v>
      </c>
      <c r="B46" s="759" t="s">
        <v>241</v>
      </c>
      <c r="C46" s="759" t="s">
        <v>242</v>
      </c>
      <c r="D46" s="759" t="s">
        <v>497</v>
      </c>
      <c r="E46" s="1266"/>
      <c r="F46" s="1266"/>
      <c r="G46" s="1266"/>
      <c r="H46" s="1266"/>
      <c r="I46" s="1286"/>
      <c r="J46" s="1286"/>
      <c r="K46" s="1263" t="str">
        <f>J45&amp;".1"</f>
        <v>...1.1.1</v>
      </c>
      <c r="L46" s="760"/>
      <c r="P46" s="1264"/>
      <c r="Q46" s="1264"/>
      <c r="R46" s="207">
        <v>1</v>
      </c>
      <c r="S46" s="698" t="str">
        <f>$K46</f>
        <v>...1.1.1</v>
      </c>
      <c r="T46" s="802"/>
      <c r="U46" s="169"/>
      <c r="V46" s="304"/>
      <c r="W46" s="304"/>
      <c r="X46" s="717"/>
      <c r="Y46" s="1268"/>
      <c r="Z46" s="1127" t="s">
        <v>62</v>
      </c>
      <c r="AA46" s="1268"/>
      <c r="AB46" s="1127" t="s">
        <v>62</v>
      </c>
      <c r="AC46" s="304"/>
      <c r="AD46" s="304"/>
      <c r="AE46" s="717"/>
      <c r="AF46" s="1268"/>
      <c r="AG46" s="1127" t="s">
        <v>62</v>
      </c>
      <c r="AH46" s="1287"/>
      <c r="AI46" s="1127" t="s">
        <v>62</v>
      </c>
      <c r="AJ46" s="803"/>
      <c r="AK46" s="1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row>
    <row r="47" spans="1:42" ht="0" hidden="1" customHeight="1">
      <c r="A47" s="759" t="s">
        <v>240</v>
      </c>
      <c r="B47" s="759" t="s">
        <v>241</v>
      </c>
      <c r="C47" s="759" t="s">
        <v>242</v>
      </c>
      <c r="D47" s="759" t="s">
        <v>497</v>
      </c>
      <c r="E47" s="1266"/>
      <c r="F47" s="1266"/>
      <c r="G47" s="1266"/>
      <c r="H47" s="1266"/>
      <c r="I47" s="1286"/>
      <c r="J47" s="1286"/>
      <c r="K47" s="1263"/>
      <c r="L47" s="760"/>
      <c r="P47" s="1264"/>
      <c r="Q47" s="1264"/>
      <c r="R47" s="207"/>
      <c r="S47" s="65"/>
      <c r="T47" s="169"/>
      <c r="U47" s="169"/>
      <c r="V47" s="189"/>
      <c r="W47" s="189"/>
      <c r="X47" s="190" t="str">
        <f>Y46&amp;"-"&amp;AA46</f>
        <v>-</v>
      </c>
      <c r="Y47" s="1269"/>
      <c r="Z47" s="1127"/>
      <c r="AA47" s="1269"/>
      <c r="AB47" s="1127"/>
      <c r="AC47" s="189"/>
      <c r="AD47" s="189"/>
      <c r="AE47" s="190" t="str">
        <f>AF46&amp;"-"&amp;AH46</f>
        <v>-</v>
      </c>
      <c r="AF47" s="1269"/>
      <c r="AG47" s="1127"/>
      <c r="AH47" s="1288"/>
      <c r="AI47" s="1127"/>
      <c r="AJ47" s="379"/>
      <c r="AK47" s="1330"/>
      <c r="AM47" s="69"/>
      <c r="AN47" s="69" t="str">
        <f t="shared" si="1"/>
        <v/>
      </c>
      <c r="AO47" s="69"/>
      <c r="AP47" s="69"/>
    </row>
    <row r="48" spans="1:42" ht="21" customHeight="1">
      <c r="A48" s="759" t="s">
        <v>240</v>
      </c>
      <c r="B48" s="759" t="s">
        <v>241</v>
      </c>
      <c r="C48" s="759" t="s">
        <v>242</v>
      </c>
      <c r="D48" s="759" t="s">
        <v>497</v>
      </c>
      <c r="E48" s="1266"/>
      <c r="F48" s="1266"/>
      <c r="G48" s="1266"/>
      <c r="H48" s="1266"/>
      <c r="I48" s="1286"/>
      <c r="J48" s="1263"/>
      <c r="K48" s="759"/>
      <c r="L48" s="760"/>
      <c r="P48" s="1264"/>
      <c r="Q48" s="1264"/>
      <c r="R48" s="206"/>
      <c r="S48" s="732"/>
      <c r="T48" s="164" t="s">
        <v>485</v>
      </c>
      <c r="U48" s="211"/>
      <c r="V48" s="211"/>
      <c r="W48" s="211"/>
      <c r="X48" s="211"/>
      <c r="Y48" s="211"/>
      <c r="Z48" s="211"/>
      <c r="AA48" s="211"/>
      <c r="AB48" s="211"/>
      <c r="AC48" s="211"/>
      <c r="AD48" s="211"/>
      <c r="AE48" s="211"/>
      <c r="AF48" s="211"/>
      <c r="AG48" s="211"/>
      <c r="AH48" s="211"/>
      <c r="AI48" s="211"/>
      <c r="AJ48" s="211"/>
      <c r="AK48" s="718" t="s">
        <v>486</v>
      </c>
      <c r="AM48" s="69"/>
      <c r="AN48" s="69" t="str">
        <f t="shared" si="1"/>
        <v>Добавить значение признака дифференциации</v>
      </c>
      <c r="AO48" s="69"/>
      <c r="AP48" s="69"/>
    </row>
    <row r="49" spans="1:42" ht="21" customHeight="1">
      <c r="A49" s="759" t="s">
        <v>240</v>
      </c>
      <c r="B49" s="759" t="s">
        <v>241</v>
      </c>
      <c r="C49" s="759" t="s">
        <v>242</v>
      </c>
      <c r="D49" s="759" t="s">
        <v>497</v>
      </c>
      <c r="E49" s="1266"/>
      <c r="F49" s="1266"/>
      <c r="G49" s="1266"/>
      <c r="H49" s="1266"/>
      <c r="I49" s="1263"/>
      <c r="J49" s="759"/>
      <c r="K49" s="759"/>
      <c r="L49" s="760"/>
      <c r="P49" s="1264"/>
      <c r="Q49" s="120"/>
      <c r="R49" s="206"/>
      <c r="S49" s="732"/>
      <c r="T49" s="209" t="s">
        <v>411</v>
      </c>
      <c r="U49" s="211"/>
      <c r="V49" s="211"/>
      <c r="W49" s="211"/>
      <c r="X49" s="211"/>
      <c r="Y49" s="211"/>
      <c r="Z49" s="211"/>
      <c r="AA49" s="211"/>
      <c r="AB49" s="210"/>
      <c r="AC49" s="211"/>
      <c r="AD49" s="211"/>
      <c r="AE49" s="211"/>
      <c r="AF49" s="211"/>
      <c r="AG49" s="211"/>
      <c r="AH49" s="211"/>
      <c r="AI49" s="210"/>
      <c r="AJ49" s="211"/>
      <c r="AK49" s="804"/>
      <c r="AM49" s="69"/>
      <c r="AN49" s="69" t="str">
        <f t="shared" si="1"/>
        <v>Добавить группу потребителей</v>
      </c>
      <c r="AO49" s="69"/>
      <c r="AP49" s="69"/>
    </row>
    <row r="50" spans="1:42" ht="21" customHeight="1">
      <c r="A50" s="759" t="s">
        <v>240</v>
      </c>
      <c r="B50" s="759" t="s">
        <v>241</v>
      </c>
      <c r="C50" s="759" t="s">
        <v>242</v>
      </c>
      <c r="D50" s="759" t="s">
        <v>497</v>
      </c>
      <c r="E50" s="1266"/>
      <c r="F50" s="1266"/>
      <c r="G50" s="1266"/>
      <c r="H50" s="1265"/>
      <c r="I50" s="759"/>
      <c r="J50" s="759"/>
      <c r="K50" s="759"/>
      <c r="L50" s="760"/>
      <c r="M50" s="417"/>
      <c r="N50" s="417"/>
      <c r="O50" s="63"/>
      <c r="P50" s="35"/>
      <c r="Q50" s="214"/>
      <c r="R50" s="205"/>
      <c r="S50" s="732"/>
      <c r="T50" s="105" t="s">
        <v>487</v>
      </c>
      <c r="U50" s="211"/>
      <c r="V50" s="211"/>
      <c r="W50" s="211"/>
      <c r="X50" s="211"/>
      <c r="Y50" s="211"/>
      <c r="Z50" s="211"/>
      <c r="AA50" s="211"/>
      <c r="AB50" s="210"/>
      <c r="AC50" s="211"/>
      <c r="AD50" s="211"/>
      <c r="AE50" s="211"/>
      <c r="AF50" s="211"/>
      <c r="AG50" s="211"/>
      <c r="AH50" s="211"/>
      <c r="AI50" s="210"/>
      <c r="AJ50" s="211"/>
      <c r="AK50" s="172"/>
      <c r="AM50" s="69"/>
      <c r="AN50" s="69" t="str">
        <f t="shared" si="1"/>
        <v>Добавить наименование признака дифференциации</v>
      </c>
      <c r="AO50" s="69"/>
      <c r="AP50" s="69"/>
    </row>
    <row r="51" spans="1:42" s="68" customFormat="1" ht="0" hidden="1" customHeight="1">
      <c r="A51" s="143" t="s">
        <v>240</v>
      </c>
      <c r="B51" s="143" t="s">
        <v>241</v>
      </c>
      <c r="C51" s="143"/>
      <c r="D51" s="143"/>
      <c r="E51" s="1266"/>
      <c r="F51" s="1265"/>
      <c r="G51" s="143"/>
      <c r="H51" s="143"/>
      <c r="I51" s="143"/>
      <c r="J51" s="143"/>
      <c r="K51" s="143"/>
      <c r="L51" s="338"/>
      <c r="M51" s="749"/>
      <c r="N51" s="749"/>
      <c r="P51" s="102"/>
      <c r="Q51" s="745"/>
      <c r="R51" s="102"/>
      <c r="S51" s="750"/>
      <c r="T51" s="752" t="s">
        <v>414</v>
      </c>
      <c r="U51" s="311"/>
      <c r="V51" s="311"/>
      <c r="W51" s="311"/>
      <c r="X51" s="311"/>
      <c r="Y51" s="311"/>
      <c r="Z51" s="311"/>
      <c r="AA51" s="311"/>
      <c r="AB51" s="311"/>
      <c r="AC51" s="311"/>
      <c r="AD51" s="311"/>
      <c r="AE51" s="311"/>
      <c r="AF51" s="311"/>
      <c r="AG51" s="311"/>
      <c r="AH51" s="311"/>
      <c r="AI51" s="311"/>
      <c r="AJ51" s="311"/>
      <c r="AK51" s="311"/>
      <c r="AM51" s="69"/>
      <c r="AN51" s="69" t="str">
        <f t="shared" si="1"/>
        <v>Добавить централизованную систему для дифференциации</v>
      </c>
      <c r="AO51" s="69"/>
      <c r="AP51" s="69"/>
    </row>
    <row r="52" spans="1:42" s="68" customFormat="1" ht="0" hidden="1" customHeight="1">
      <c r="A52" s="143" t="s">
        <v>240</v>
      </c>
      <c r="B52" s="143"/>
      <c r="C52" s="143"/>
      <c r="D52" s="143"/>
      <c r="E52" s="1265"/>
      <c r="F52" s="143"/>
      <c r="G52" s="143"/>
      <c r="H52" s="143"/>
      <c r="I52" s="143"/>
      <c r="J52" s="143"/>
      <c r="K52" s="143"/>
      <c r="L52" s="338"/>
      <c r="M52" s="749"/>
      <c r="N52" s="749"/>
      <c r="P52" s="102"/>
      <c r="Q52" s="745"/>
      <c r="R52" s="102"/>
      <c r="S52" s="750"/>
      <c r="T52" s="752" t="s">
        <v>415</v>
      </c>
      <c r="U52" s="311"/>
      <c r="V52" s="311"/>
      <c r="W52" s="311"/>
      <c r="X52" s="311"/>
      <c r="Y52" s="311"/>
      <c r="Z52" s="311"/>
      <c r="AA52" s="311"/>
      <c r="AB52" s="311"/>
      <c r="AC52" s="311"/>
      <c r="AD52" s="311"/>
      <c r="AE52" s="311"/>
      <c r="AF52" s="311"/>
      <c r="AG52" s="311"/>
      <c r="AH52" s="311"/>
      <c r="AI52" s="311"/>
      <c r="AJ52" s="311"/>
      <c r="AK52" s="311"/>
      <c r="AM52" s="69"/>
      <c r="AN52" s="69" t="str">
        <f t="shared" si="1"/>
        <v>Добавить территорию для дифференциации</v>
      </c>
      <c r="AO52" s="69"/>
      <c r="AP52" s="69"/>
    </row>
    <row r="53" spans="1:42" s="68" customFormat="1" ht="0" hidden="1" customHeight="1">
      <c r="A53" s="143"/>
      <c r="B53" s="143"/>
      <c r="C53" s="143"/>
      <c r="D53" s="143"/>
      <c r="E53" s="143"/>
      <c r="F53" s="143"/>
      <c r="G53" s="143"/>
      <c r="H53" s="143"/>
      <c r="I53" s="143"/>
      <c r="J53" s="143"/>
      <c r="K53" s="143"/>
      <c r="L53" s="338"/>
      <c r="M53" s="749"/>
      <c r="N53" s="749"/>
      <c r="P53" s="102"/>
      <c r="Q53" s="745"/>
      <c r="R53" s="102"/>
      <c r="S53" s="750"/>
      <c r="T53" s="752" t="s">
        <v>447</v>
      </c>
      <c r="U53" s="311"/>
      <c r="V53" s="311"/>
      <c r="W53" s="311"/>
      <c r="X53" s="311"/>
      <c r="Y53" s="311"/>
      <c r="Z53" s="311"/>
      <c r="AA53" s="311"/>
      <c r="AB53" s="311"/>
      <c r="AC53" s="311"/>
      <c r="AD53" s="311"/>
      <c r="AE53" s="311"/>
      <c r="AF53" s="311"/>
      <c r="AG53" s="311"/>
      <c r="AH53" s="311"/>
      <c r="AI53" s="311"/>
      <c r="AJ53" s="311"/>
      <c r="AK53" s="311"/>
      <c r="AM53" s="69"/>
      <c r="AN53" s="69" t="str">
        <f t="shared" si="1"/>
        <v>Добавить наименование тарифа</v>
      </c>
      <c r="AO53" s="69"/>
      <c r="AP53" s="69"/>
    </row>
    <row r="54" spans="1:42" ht="11.25" customHeight="1">
      <c r="M54" s="63"/>
      <c r="N54" s="63"/>
      <c r="O54" s="63"/>
      <c r="P54" s="12"/>
      <c r="Q54" s="12"/>
      <c r="R54" s="12"/>
      <c r="S54" s="12"/>
      <c r="AL54" s="12"/>
      <c r="AM54" s="12"/>
      <c r="AN54" s="12"/>
      <c r="AO54" s="12"/>
      <c r="AP54" s="12"/>
    </row>
    <row r="55" spans="1:42" ht="14.25" customHeight="1">
      <c r="O55" s="63"/>
      <c r="S55" s="196"/>
      <c r="T55" s="1285"/>
      <c r="U55" s="1285"/>
      <c r="V55" s="1285"/>
      <c r="W55" s="1285"/>
      <c r="X55" s="1285"/>
      <c r="Y55" s="1285"/>
      <c r="Z55" s="1285"/>
      <c r="AA55" s="1285"/>
      <c r="AB55" s="1285"/>
      <c r="AC55" s="1285"/>
      <c r="AD55" s="1285"/>
      <c r="AE55" s="1285"/>
      <c r="AF55" s="1285"/>
      <c r="AG55" s="1285"/>
      <c r="AH55" s="1285"/>
      <c r="AI55" s="1285"/>
      <c r="AJ55" s="1285"/>
      <c r="AK55" s="1285"/>
    </row>
    <row r="56" spans="1:42" ht="14.25" customHeight="1">
      <c r="O56" s="63"/>
    </row>
    <row r="57" spans="1:42" ht="14.25" customHeight="1">
      <c r="O57" s="63"/>
      <c r="S57" s="196"/>
      <c r="T57" s="1285"/>
      <c r="U57" s="1285"/>
      <c r="V57" s="1285"/>
      <c r="W57" s="1285"/>
      <c r="X57" s="1285"/>
      <c r="Y57" s="1285"/>
      <c r="Z57" s="1285"/>
      <c r="AA57" s="1285"/>
      <c r="AB57" s="1285"/>
      <c r="AC57" s="1285"/>
      <c r="AD57" s="1285"/>
      <c r="AE57" s="1285"/>
      <c r="AF57" s="1285"/>
      <c r="AG57" s="1285"/>
      <c r="AH57" s="1285"/>
      <c r="AI57" s="1285"/>
      <c r="AJ57" s="1285"/>
      <c r="AK57" s="128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4297F-9DD8-98A1-2AC9-BAE33FCB3134}">
  <sheetPr>
    <tabColor theme="6" tint="0.39997558519241921"/>
  </sheetPr>
  <dimension ref="A1:AP63"/>
  <sheetViews>
    <sheetView showGridLines="0" topLeftCell="P1" zoomScale="90" workbookViewId="0"/>
  </sheetViews>
  <sheetFormatPr defaultColWidth="10.5703125" defaultRowHeight="14.25" customHeight="1"/>
  <cols>
    <col min="1" max="3" width="10.140625" style="12" hidden="1" customWidth="1"/>
    <col min="4" max="4" width="11.85546875" style="12" hidden="1" customWidth="1"/>
    <col min="5" max="11" width="10.140625" style="12" hidden="1" customWidth="1"/>
    <col min="12" max="12" width="10.140625" style="59" hidden="1" customWidth="1"/>
    <col min="13" max="15" width="10.140625" style="34" hidden="1" customWidth="1"/>
    <col min="16" max="16" width="3.7109375" style="497" customWidth="1"/>
    <col min="17" max="17" width="3.7109375" style="762" customWidth="1"/>
    <col min="18" max="18" width="3.7109375" style="30" customWidth="1"/>
    <col min="19" max="19" width="12.7109375" style="334" customWidth="1"/>
    <col min="20" max="20" width="32" style="12" customWidth="1"/>
    <col min="21" max="21" width="0.140625" style="12" customWidth="1"/>
    <col min="22" max="23" width="21.7109375" style="12" hidden="1" customWidth="1"/>
    <col min="24" max="24" width="11.7109375" style="12" hidden="1" customWidth="1"/>
    <col min="25" max="25" width="3.7109375" style="12" hidden="1" customWidth="1"/>
    <col min="26" max="26" width="11.7109375" style="12" hidden="1" customWidth="1"/>
    <col min="27" max="27" width="8.5703125" style="12" hidden="1" customWidth="1"/>
    <col min="28" max="28" width="28" style="12" customWidth="1"/>
    <col min="29" max="29" width="24.5703125" style="12" customWidth="1"/>
    <col min="30" max="31" width="21.7109375" style="12" customWidth="1"/>
    <col min="32" max="32" width="11.7109375" style="12" customWidth="1"/>
    <col min="33" max="33" width="3.7109375" style="12" customWidth="1"/>
    <col min="34" max="34" width="11.7109375" style="12" customWidth="1"/>
    <col min="35" max="35" width="8.5703125" style="12" customWidth="1"/>
    <col min="36" max="36" width="4.7109375" style="12" customWidth="1"/>
    <col min="37" max="37" width="115.7109375" style="12" customWidth="1"/>
    <col min="38" max="39" width="10.5703125" style="68"/>
    <col min="40" max="40" width="11.140625" style="68" customWidth="1"/>
    <col min="41" max="42" width="10.5703125" style="68"/>
  </cols>
  <sheetData>
    <row r="1" spans="1:42" ht="0.75" customHeight="1"/>
    <row r="2" spans="1:42" ht="21" hidden="1" customHeight="1">
      <c r="A2" s="721"/>
      <c r="B2" s="721"/>
      <c r="C2" s="721"/>
      <c r="D2" s="721"/>
      <c r="E2" s="1289">
        <v>1</v>
      </c>
      <c r="F2" s="721"/>
      <c r="G2" s="721"/>
      <c r="H2" s="721"/>
      <c r="I2" s="721"/>
      <c r="J2" s="721"/>
      <c r="K2" s="721"/>
      <c r="L2" s="744"/>
      <c r="M2" s="334"/>
      <c r="N2" s="334"/>
      <c r="O2" s="334"/>
      <c r="Q2" s="62"/>
      <c r="R2" s="205"/>
      <c r="S2" s="698" t="e">
        <f>INDEX(PT_DIFFERENTIATION_NUM_NTAR,MATCH(A2,PT_DIFFERENTIATION_NTAR_ID,0))</f>
        <v>#N/A</v>
      </c>
      <c r="T2" s="67" t="s">
        <v>124</v>
      </c>
      <c r="U2" s="169"/>
      <c r="V2" s="1252"/>
      <c r="W2" s="1252"/>
      <c r="X2" s="1252"/>
      <c r="Y2" s="1252"/>
      <c r="Z2" s="1252"/>
      <c r="AA2" s="1253"/>
      <c r="AB2" s="1032"/>
      <c r="AC2" s="1252"/>
      <c r="AD2" s="1252"/>
      <c r="AE2" s="1252"/>
      <c r="AF2" s="1252"/>
      <c r="AG2" s="1252"/>
      <c r="AH2" s="1252"/>
      <c r="AI2" s="1252"/>
      <c r="AJ2" s="1253"/>
      <c r="AK2" s="718" t="s">
        <v>395</v>
      </c>
      <c r="AM2" s="69"/>
      <c r="AN2" s="69" t="str">
        <f t="shared" ref="AN2:AN14" si="0">IF(T2="","",T2)</f>
        <v>Наименование тарифа</v>
      </c>
      <c r="AO2" s="69"/>
      <c r="AP2" s="69"/>
    </row>
    <row r="3" spans="1:42" ht="21" hidden="1" customHeight="1">
      <c r="A3" s="721"/>
      <c r="B3" s="721"/>
      <c r="C3" s="721"/>
      <c r="D3" s="721"/>
      <c r="E3" s="1290"/>
      <c r="F3" s="1289">
        <v>1</v>
      </c>
      <c r="G3" s="721"/>
      <c r="H3" s="721"/>
      <c r="I3" s="721"/>
      <c r="J3" s="721"/>
      <c r="K3" s="721"/>
      <c r="L3" s="744"/>
      <c r="M3" s="334"/>
      <c r="N3" s="334"/>
      <c r="O3" s="334"/>
      <c r="P3" s="299"/>
      <c r="Q3" s="792"/>
      <c r="R3" s="203"/>
      <c r="S3" s="698" t="e">
        <f>INDEX(PT_DIFFERENTIATION_NUM_TER,MATCH(B3,PT_DIFFERENTIATION_TER_ID,0))</f>
        <v>#N/A</v>
      </c>
      <c r="T3" s="175" t="s">
        <v>396</v>
      </c>
      <c r="U3" s="169"/>
      <c r="V3" s="1252"/>
      <c r="W3" s="1252"/>
      <c r="X3" s="1252"/>
      <c r="Y3" s="1252"/>
      <c r="Z3" s="1252"/>
      <c r="AA3" s="1253"/>
      <c r="AB3" s="1032"/>
      <c r="AC3" s="1252"/>
      <c r="AD3" s="1252"/>
      <c r="AE3" s="1252"/>
      <c r="AF3" s="1252"/>
      <c r="AG3" s="1252"/>
      <c r="AH3" s="1252"/>
      <c r="AI3" s="1252"/>
      <c r="AJ3" s="1253"/>
      <c r="AK3" s="718" t="s">
        <v>397</v>
      </c>
      <c r="AM3" s="69"/>
      <c r="AN3" s="69" t="str">
        <f t="shared" si="0"/>
        <v>Территория действия тарифа</v>
      </c>
      <c r="AO3" s="69"/>
      <c r="AP3" s="69"/>
    </row>
    <row r="4" spans="1:42" ht="22.5" hidden="1" customHeight="1">
      <c r="A4" s="721"/>
      <c r="B4" s="721"/>
      <c r="C4" s="721"/>
      <c r="D4" s="721"/>
      <c r="E4" s="1290"/>
      <c r="F4" s="1290"/>
      <c r="G4" s="1289">
        <v>1</v>
      </c>
      <c r="H4" s="721"/>
      <c r="I4" s="721"/>
      <c r="J4" s="721"/>
      <c r="K4" s="721"/>
      <c r="L4" s="744"/>
      <c r="M4" s="334"/>
      <c r="N4" s="334"/>
      <c r="O4" s="334"/>
      <c r="P4" s="129"/>
      <c r="Q4" s="792"/>
      <c r="R4" s="203"/>
      <c r="S4" s="698" t="e">
        <f>INDEX(PT_DIFFERENTIATION_NUM_CS,MATCH(C4,PT_DIFFERENTIATION_CS_ID,0))</f>
        <v>#N/A</v>
      </c>
      <c r="T4" s="176" t="s">
        <v>398</v>
      </c>
      <c r="U4" s="169"/>
      <c r="V4" s="1252"/>
      <c r="W4" s="1252"/>
      <c r="X4" s="1252"/>
      <c r="Y4" s="1252"/>
      <c r="Z4" s="1252"/>
      <c r="AA4" s="1253"/>
      <c r="AB4" s="1032"/>
      <c r="AC4" s="1252"/>
      <c r="AD4" s="1252"/>
      <c r="AE4" s="1252"/>
      <c r="AF4" s="1252"/>
      <c r="AG4" s="1252"/>
      <c r="AH4" s="1252"/>
      <c r="AI4" s="1252"/>
      <c r="AJ4" s="1253"/>
      <c r="AK4" s="718" t="s">
        <v>399</v>
      </c>
      <c r="AM4" s="69"/>
      <c r="AN4" s="69" t="str">
        <f t="shared" si="0"/>
        <v xml:space="preserve">Наименование системы теплоснабжения </v>
      </c>
      <c r="AO4" s="69"/>
      <c r="AP4" s="69"/>
    </row>
    <row r="5" spans="1:42" ht="21" hidden="1" customHeight="1">
      <c r="A5" s="721"/>
      <c r="B5" s="721"/>
      <c r="C5" s="721"/>
      <c r="D5" s="721"/>
      <c r="E5" s="1290"/>
      <c r="F5" s="1290"/>
      <c r="G5" s="1290"/>
      <c r="H5" s="1289">
        <v>1</v>
      </c>
      <c r="I5" s="721"/>
      <c r="J5" s="721"/>
      <c r="K5" s="721"/>
      <c r="L5" s="744"/>
      <c r="M5" s="334"/>
      <c r="N5" s="334"/>
      <c r="O5" s="334"/>
      <c r="P5" s="129"/>
      <c r="Q5" s="792"/>
      <c r="R5" s="203"/>
      <c r="S5" s="698" t="e">
        <f>INDEX(PT_DIFFERENTIATION_NUM_IST_TE,MATCH(D5,PT_DIFFERENTIATION_IST_TE_ID,0))</f>
        <v>#N/A</v>
      </c>
      <c r="T5" s="177" t="s">
        <v>400</v>
      </c>
      <c r="U5" s="169"/>
      <c r="V5" s="1252"/>
      <c r="W5" s="1252"/>
      <c r="X5" s="1252"/>
      <c r="Y5" s="1252"/>
      <c r="Z5" s="1252"/>
      <c r="AA5" s="1253"/>
      <c r="AB5" s="1032"/>
      <c r="AC5" s="1252"/>
      <c r="AD5" s="1252"/>
      <c r="AE5" s="1252"/>
      <c r="AF5" s="1252"/>
      <c r="AG5" s="1252"/>
      <c r="AH5" s="1252"/>
      <c r="AI5" s="1252"/>
      <c r="AJ5" s="1253"/>
      <c r="AK5" s="718" t="s">
        <v>401</v>
      </c>
      <c r="AM5" s="69"/>
      <c r="AN5" s="69" t="str">
        <f t="shared" si="0"/>
        <v xml:space="preserve">Источник тепловой энергии  </v>
      </c>
      <c r="AO5" s="69"/>
      <c r="AP5" s="69"/>
    </row>
    <row r="6" spans="1:42" s="68" customFormat="1" ht="0.75" hidden="1" customHeight="1">
      <c r="A6" s="764"/>
      <c r="B6" s="764"/>
      <c r="C6" s="764"/>
      <c r="D6" s="764"/>
      <c r="E6" s="1290"/>
      <c r="F6" s="1290"/>
      <c r="G6" s="1290"/>
      <c r="H6" s="1290"/>
      <c r="I6" s="1146" t="e">
        <f>S5&amp;".1"</f>
        <v>#N/A</v>
      </c>
      <c r="J6" s="764"/>
      <c r="K6" s="764"/>
      <c r="L6" s="765" t="s">
        <v>402</v>
      </c>
      <c r="M6" s="711"/>
      <c r="N6" s="711"/>
      <c r="O6" s="711"/>
      <c r="P6" s="1264">
        <v>1</v>
      </c>
      <c r="Q6" s="120"/>
      <c r="R6" s="206"/>
      <c r="S6" s="353"/>
      <c r="T6" s="769"/>
      <c r="U6" s="770"/>
      <c r="V6" s="1295"/>
      <c r="W6" s="1295"/>
      <c r="X6" s="1295"/>
      <c r="Y6" s="1295"/>
      <c r="Z6" s="1295"/>
      <c r="AA6" s="1296"/>
      <c r="AB6" s="1034"/>
      <c r="AC6" s="1295"/>
      <c r="AD6" s="1295"/>
      <c r="AE6" s="1295"/>
      <c r="AF6" s="1295"/>
      <c r="AG6" s="1295"/>
      <c r="AH6" s="1295"/>
      <c r="AI6" s="1295"/>
      <c r="AJ6" s="1296"/>
      <c r="AK6" s="771"/>
      <c r="AM6" s="69"/>
      <c r="AN6" s="69" t="str">
        <f t="shared" si="0"/>
        <v/>
      </c>
      <c r="AO6" s="69"/>
      <c r="AP6" s="69"/>
    </row>
    <row r="7" spans="1:42" s="68" customFormat="1" ht="0.75" hidden="1" customHeight="1">
      <c r="A7" s="764"/>
      <c r="B7" s="764"/>
      <c r="C7" s="764"/>
      <c r="D7" s="764"/>
      <c r="E7" s="1290"/>
      <c r="F7" s="1290"/>
      <c r="G7" s="1290"/>
      <c r="H7" s="1290"/>
      <c r="I7" s="1117"/>
      <c r="J7" s="1146" t="e">
        <f>S5&amp;".1"</f>
        <v>#N/A</v>
      </c>
      <c r="K7" s="764"/>
      <c r="L7" s="765"/>
      <c r="M7" s="711"/>
      <c r="N7" s="711"/>
      <c r="O7" s="711"/>
      <c r="P7" s="1264"/>
      <c r="Q7" s="1264">
        <v>1</v>
      </c>
      <c r="R7" s="207"/>
      <c r="S7" s="353"/>
      <c r="T7" s="784"/>
      <c r="U7" s="770"/>
      <c r="V7" s="1295"/>
      <c r="W7" s="1295"/>
      <c r="X7" s="1295"/>
      <c r="Y7" s="1295"/>
      <c r="Z7" s="1295"/>
      <c r="AA7" s="1296"/>
      <c r="AB7" s="1034"/>
      <c r="AC7" s="1295"/>
      <c r="AD7" s="1295"/>
      <c r="AE7" s="1295"/>
      <c r="AF7" s="1295"/>
      <c r="AG7" s="1295"/>
      <c r="AH7" s="1295"/>
      <c r="AI7" s="1295"/>
      <c r="AJ7" s="1296"/>
      <c r="AK7" s="771"/>
      <c r="AM7" s="69"/>
      <c r="AN7" s="69" t="str">
        <f t="shared" si="0"/>
        <v/>
      </c>
      <c r="AO7" s="69"/>
      <c r="AP7" s="69"/>
    </row>
    <row r="8" spans="1:42" ht="21" hidden="1" customHeight="1">
      <c r="A8" s="721"/>
      <c r="B8" s="721"/>
      <c r="C8" s="721"/>
      <c r="D8" s="721"/>
      <c r="E8" s="1290"/>
      <c r="F8" s="1290"/>
      <c r="G8" s="1290"/>
      <c r="H8" s="1290"/>
      <c r="I8" s="1117"/>
      <c r="J8" s="1117"/>
      <c r="K8" s="42" t="e">
        <f>S5&amp;".1"</f>
        <v>#N/A</v>
      </c>
      <c r="L8" s="744"/>
      <c r="P8" s="1264"/>
      <c r="Q8" s="1264"/>
      <c r="R8" s="1048">
        <v>1</v>
      </c>
      <c r="S8" s="1036" t="e">
        <f>$K8</f>
        <v>#N/A</v>
      </c>
      <c r="T8" s="1035"/>
      <c r="U8" s="169"/>
      <c r="V8" s="304"/>
      <c r="W8" s="717"/>
      <c r="X8" s="933"/>
      <c r="Y8" s="295" t="s">
        <v>62</v>
      </c>
      <c r="Z8" s="933"/>
      <c r="AA8" s="295" t="s">
        <v>62</v>
      </c>
      <c r="AB8" s="1038"/>
      <c r="AC8" s="1037" t="s">
        <v>18</v>
      </c>
      <c r="AD8" s="304"/>
      <c r="AE8" s="717"/>
      <c r="AF8" s="933"/>
      <c r="AG8" s="295" t="s">
        <v>62</v>
      </c>
      <c r="AH8" s="933"/>
      <c r="AI8" s="295" t="s">
        <v>62</v>
      </c>
      <c r="AJ8" s="756"/>
      <c r="AK8" s="1260" t="s">
        <v>463</v>
      </c>
      <c r="AL8" s="68" t="e">
        <f ca="1">STRCHECKDATE(#REF!)</f>
        <v>#NAME?</v>
      </c>
      <c r="AM8" s="69"/>
      <c r="AN8" s="69" t="str">
        <f t="shared" si="0"/>
        <v/>
      </c>
      <c r="AO8" s="69"/>
      <c r="AP8" s="69"/>
    </row>
    <row r="9" spans="1:42" ht="11.25" hidden="1" customHeight="1">
      <c r="A9" s="721"/>
      <c r="B9" s="721"/>
      <c r="C9" s="721"/>
      <c r="D9" s="721"/>
      <c r="E9" s="1290"/>
      <c r="F9" s="1290"/>
      <c r="G9" s="1290"/>
      <c r="H9" s="1290"/>
      <c r="I9" s="1117"/>
      <c r="J9" s="1146"/>
      <c r="K9" s="721"/>
      <c r="L9" s="744"/>
      <c r="P9" s="1264"/>
      <c r="Q9" s="1264"/>
      <c r="R9" s="206"/>
      <c r="S9" s="732"/>
      <c r="T9" s="164" t="s">
        <v>467</v>
      </c>
      <c r="U9" s="211"/>
      <c r="V9" s="211"/>
      <c r="W9" s="211"/>
      <c r="X9" s="211"/>
      <c r="Y9" s="211"/>
      <c r="Z9" s="211"/>
      <c r="AA9" s="211"/>
      <c r="AB9" s="211"/>
      <c r="AC9" s="211"/>
      <c r="AD9" s="211"/>
      <c r="AE9" s="211"/>
      <c r="AF9" s="211"/>
      <c r="AG9" s="211"/>
      <c r="AH9" s="211"/>
      <c r="AI9" s="211"/>
      <c r="AJ9" s="188"/>
      <c r="AK9" s="1262"/>
      <c r="AM9" s="69"/>
      <c r="AN9" s="69" t="str">
        <f t="shared" si="0"/>
        <v>Добавить строку</v>
      </c>
      <c r="AO9" s="69"/>
      <c r="AP9" s="69"/>
    </row>
    <row r="10" spans="1:42" s="68" customFormat="1" ht="0.75" hidden="1" customHeight="1">
      <c r="A10" s="764"/>
      <c r="B10" s="764"/>
      <c r="C10" s="764"/>
      <c r="D10" s="764"/>
      <c r="E10" s="1290"/>
      <c r="F10" s="1290"/>
      <c r="G10" s="1290"/>
      <c r="H10" s="1290"/>
      <c r="I10" s="1146"/>
      <c r="J10" s="764"/>
      <c r="K10" s="764"/>
      <c r="L10" s="765"/>
      <c r="M10" s="711"/>
      <c r="N10" s="711"/>
      <c r="O10" s="711"/>
      <c r="P10" s="1264"/>
      <c r="Q10" s="120"/>
      <c r="R10" s="206"/>
      <c r="S10" s="772"/>
      <c r="T10" s="773"/>
      <c r="U10" s="774"/>
      <c r="V10" s="774"/>
      <c r="W10" s="774"/>
      <c r="X10" s="774"/>
      <c r="Y10" s="774"/>
      <c r="Z10" s="774"/>
      <c r="AA10" s="774"/>
      <c r="AB10" s="774"/>
      <c r="AC10" s="774"/>
      <c r="AD10" s="774"/>
      <c r="AE10" s="774"/>
      <c r="AF10" s="774"/>
      <c r="AG10" s="774"/>
      <c r="AH10" s="774"/>
      <c r="AI10" s="774"/>
      <c r="AJ10" s="774"/>
      <c r="AK10" s="775"/>
      <c r="AM10" s="69"/>
      <c r="AN10" s="69" t="str">
        <f t="shared" si="0"/>
        <v/>
      </c>
      <c r="AO10" s="69"/>
      <c r="AP10" s="69"/>
    </row>
    <row r="11" spans="1:42" s="68" customFormat="1" ht="0.75" hidden="1" customHeight="1">
      <c r="A11" s="764"/>
      <c r="B11" s="764"/>
      <c r="C11" s="764"/>
      <c r="D11" s="764"/>
      <c r="E11" s="1290"/>
      <c r="F11" s="1290"/>
      <c r="G11" s="1290"/>
      <c r="H11" s="1289"/>
      <c r="I11" s="764"/>
      <c r="J11" s="764"/>
      <c r="K11" s="764"/>
      <c r="L11" s="765"/>
      <c r="M11" s="766"/>
      <c r="N11" s="766"/>
      <c r="O11" s="201"/>
      <c r="P11" s="102"/>
      <c r="Q11" s="745"/>
      <c r="R11" s="786"/>
      <c r="S11" s="772"/>
      <c r="T11" s="773"/>
      <c r="U11" s="774"/>
      <c r="V11" s="774"/>
      <c r="W11" s="774"/>
      <c r="X11" s="774"/>
      <c r="Y11" s="774"/>
      <c r="Z11" s="774"/>
      <c r="AA11" s="774"/>
      <c r="AB11" s="774"/>
      <c r="AC11" s="774"/>
      <c r="AD11" s="774"/>
      <c r="AE11" s="774"/>
      <c r="AF11" s="774"/>
      <c r="AG11" s="774"/>
      <c r="AH11" s="774"/>
      <c r="AI11" s="774"/>
      <c r="AJ11" s="774"/>
      <c r="AK11" s="775"/>
      <c r="AM11" s="69"/>
      <c r="AN11" s="69" t="str">
        <f t="shared" si="0"/>
        <v/>
      </c>
      <c r="AO11" s="69"/>
      <c r="AP11" s="69"/>
    </row>
    <row r="12" spans="1:42" s="68" customFormat="1" ht="0.75" hidden="1" customHeight="1">
      <c r="A12" s="764"/>
      <c r="B12" s="764"/>
      <c r="C12" s="764"/>
      <c r="D12" s="764"/>
      <c r="E12" s="1290"/>
      <c r="F12" s="1290"/>
      <c r="G12" s="1289"/>
      <c r="H12" s="764"/>
      <c r="I12" s="764"/>
      <c r="J12" s="764"/>
      <c r="K12" s="764"/>
      <c r="L12" s="765"/>
      <c r="M12" s="766"/>
      <c r="N12" s="766"/>
      <c r="O12" s="201"/>
      <c r="P12" s="102"/>
      <c r="Q12" s="745"/>
      <c r="R12" s="102"/>
      <c r="S12" s="750"/>
      <c r="T12" s="752" t="s">
        <v>413</v>
      </c>
      <c r="U12" s="311"/>
      <c r="V12" s="311"/>
      <c r="W12" s="311"/>
      <c r="X12" s="311"/>
      <c r="Y12" s="311"/>
      <c r="Z12" s="311"/>
      <c r="AA12" s="311"/>
      <c r="AB12" s="311"/>
      <c r="AC12" s="311"/>
      <c r="AD12" s="311"/>
      <c r="AE12" s="311"/>
      <c r="AF12" s="311"/>
      <c r="AG12" s="311"/>
      <c r="AH12" s="311"/>
      <c r="AI12" s="311"/>
      <c r="AJ12" s="311"/>
      <c r="AK12" s="311"/>
      <c r="AM12" s="69"/>
      <c r="AN12" s="69" t="str">
        <f t="shared" si="0"/>
        <v>Добавить источник для дифференциации</v>
      </c>
      <c r="AO12" s="69"/>
      <c r="AP12" s="69"/>
    </row>
    <row r="13" spans="1:42" s="68" customFormat="1" ht="0.75" hidden="1" customHeight="1">
      <c r="A13" s="764"/>
      <c r="B13" s="764"/>
      <c r="C13" s="764"/>
      <c r="D13" s="764"/>
      <c r="E13" s="1290"/>
      <c r="F13" s="1289"/>
      <c r="G13" s="764"/>
      <c r="H13" s="764"/>
      <c r="I13" s="764"/>
      <c r="J13" s="764"/>
      <c r="K13" s="764"/>
      <c r="L13" s="765"/>
      <c r="M13" s="767"/>
      <c r="N13" s="767"/>
      <c r="O13" s="201"/>
      <c r="P13" s="102"/>
      <c r="Q13" s="745"/>
      <c r="R13" s="102"/>
      <c r="S13" s="750"/>
      <c r="T13" s="752" t="s">
        <v>414</v>
      </c>
      <c r="U13" s="311"/>
      <c r="V13" s="311"/>
      <c r="W13" s="311"/>
      <c r="X13" s="311"/>
      <c r="Y13" s="311"/>
      <c r="Z13" s="311"/>
      <c r="AA13" s="311"/>
      <c r="AB13" s="311"/>
      <c r="AC13" s="311"/>
      <c r="AD13" s="311"/>
      <c r="AE13" s="311"/>
      <c r="AF13" s="311"/>
      <c r="AG13" s="311"/>
      <c r="AH13" s="311"/>
      <c r="AI13" s="311"/>
      <c r="AJ13" s="311"/>
      <c r="AK13" s="311"/>
      <c r="AM13" s="69"/>
      <c r="AN13" s="69" t="str">
        <f t="shared" si="0"/>
        <v>Добавить централизованную систему для дифференциации</v>
      </c>
      <c r="AO13" s="69"/>
      <c r="AP13" s="69"/>
    </row>
    <row r="14" spans="1:42" s="68" customFormat="1" ht="0.75" hidden="1" customHeight="1">
      <c r="A14" s="764"/>
      <c r="B14" s="764"/>
      <c r="C14" s="764"/>
      <c r="D14" s="764"/>
      <c r="E14" s="1289"/>
      <c r="F14" s="764"/>
      <c r="G14" s="764"/>
      <c r="H14" s="764"/>
      <c r="I14" s="764"/>
      <c r="J14" s="764"/>
      <c r="K14" s="764"/>
      <c r="L14" s="765"/>
      <c r="M14" s="767"/>
      <c r="N14" s="767"/>
      <c r="O14" s="201"/>
      <c r="P14" s="102"/>
      <c r="Q14" s="745"/>
      <c r="R14" s="102"/>
      <c r="S14" s="750"/>
      <c r="T14" s="752" t="s">
        <v>415</v>
      </c>
      <c r="U14" s="311"/>
      <c r="V14" s="311"/>
      <c r="W14" s="311"/>
      <c r="X14" s="311"/>
      <c r="Y14" s="311"/>
      <c r="Z14" s="311"/>
      <c r="AA14" s="311"/>
      <c r="AB14" s="311"/>
      <c r="AC14" s="311"/>
      <c r="AD14" s="311"/>
      <c r="AE14" s="311"/>
      <c r="AF14" s="311"/>
      <c r="AG14" s="311"/>
      <c r="AH14" s="311"/>
      <c r="AI14" s="311"/>
      <c r="AJ14" s="311"/>
      <c r="AK14" s="311"/>
      <c r="AM14" s="69"/>
      <c r="AN14" s="69" t="str">
        <f t="shared" si="0"/>
        <v>Добавить территорию для дифференциации</v>
      </c>
      <c r="AO14" s="69"/>
      <c r="AP14" s="69"/>
    </row>
    <row r="15" spans="1:42" ht="14.25" hidden="1" customHeight="1"/>
    <row r="16" spans="1:42" ht="14.25" hidden="1" customHeight="1">
      <c r="AC16" s="815"/>
      <c r="AD16" s="600"/>
      <c r="AE16" s="787"/>
      <c r="AF16" s="935"/>
      <c r="AG16" s="806" t="s">
        <v>62</v>
      </c>
      <c r="AH16" s="935"/>
      <c r="AI16" s="806" t="s">
        <v>62</v>
      </c>
    </row>
    <row r="17" spans="1:42" ht="14.25" hidden="1" customHeight="1">
      <c r="AL17" s="201"/>
      <c r="AM17" s="201"/>
      <c r="AN17" s="201"/>
      <c r="AO17" s="201"/>
      <c r="AP17" s="201"/>
    </row>
    <row r="18" spans="1:42" ht="14.25" hidden="1" customHeight="1">
      <c r="O18" s="754" t="s">
        <v>416</v>
      </c>
      <c r="X18" s="754"/>
      <c r="Z18" s="754"/>
      <c r="AF18" s="754"/>
      <c r="AH18" s="754"/>
      <c r="AL18" s="201"/>
      <c r="AM18" s="201"/>
      <c r="AN18" s="201"/>
      <c r="AO18" s="201"/>
      <c r="AP18" s="201"/>
    </row>
    <row r="19" spans="1:42" ht="14.25" hidden="1" customHeight="1">
      <c r="AL19" s="201"/>
      <c r="AM19" s="201"/>
      <c r="AN19" s="201"/>
      <c r="AO19" s="201"/>
      <c r="AP19" s="201"/>
    </row>
    <row r="20" spans="1:42" s="819" customFormat="1" ht="14.25" hidden="1" customHeight="1">
      <c r="A20" s="1040"/>
      <c r="B20" s="1040"/>
      <c r="C20" s="1040"/>
      <c r="D20" s="1040"/>
      <c r="E20" s="1040"/>
      <c r="F20" s="1040"/>
      <c r="G20" s="1040"/>
      <c r="H20" s="1040"/>
      <c r="I20" s="1040"/>
      <c r="J20" s="1040"/>
      <c r="K20" s="1040"/>
      <c r="L20" s="1040"/>
      <c r="M20" s="1041"/>
      <c r="N20" s="1041"/>
      <c r="O20" s="1040" t="s">
        <v>417</v>
      </c>
      <c r="P20" s="820"/>
      <c r="Q20" s="821"/>
      <c r="R20" s="821"/>
      <c r="Y20" s="819" t="s">
        <v>419</v>
      </c>
      <c r="AA20" s="819" t="s">
        <v>420</v>
      </c>
      <c r="AC20" s="819" t="s">
        <v>469</v>
      </c>
      <c r="AG20" s="819" t="s">
        <v>419</v>
      </c>
      <c r="AI20" s="819" t="s">
        <v>420</v>
      </c>
      <c r="AL20" s="822"/>
      <c r="AM20" s="822"/>
      <c r="AN20" s="822"/>
      <c r="AO20" s="822"/>
      <c r="AP20" s="822"/>
    </row>
    <row r="21" spans="1:42" ht="14.25" hidden="1" customHeight="1">
      <c r="O21" s="744"/>
      <c r="AL21" s="201"/>
      <c r="AM21" s="201"/>
      <c r="AN21" s="201"/>
      <c r="AO21" s="201"/>
      <c r="AP21" s="201"/>
    </row>
    <row r="22" spans="1:42" ht="14.25" hidden="1" customHeight="1">
      <c r="O22" s="744"/>
      <c r="AL22" s="201"/>
      <c r="AM22" s="201"/>
      <c r="AN22" s="201"/>
      <c r="AO22" s="201"/>
      <c r="AP22" s="201"/>
    </row>
    <row r="23" spans="1:42" ht="14.25" customHeight="1">
      <c r="Q23" s="166"/>
      <c r="R23" s="29"/>
      <c r="S23" s="729"/>
      <c r="T23" s="11"/>
      <c r="U23" s="11"/>
    </row>
    <row r="24" spans="1:42" ht="38.25" customHeight="1">
      <c r="Q24" s="166"/>
      <c r="R24" s="29"/>
      <c r="S24" s="1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49"/>
      <c r="U24" s="1249"/>
      <c r="V24" s="1249"/>
      <c r="W24" s="1249"/>
      <c r="X24" s="1249"/>
      <c r="Y24" s="1249"/>
      <c r="Z24" s="1249"/>
      <c r="AA24" s="1249"/>
      <c r="AB24" s="1249"/>
      <c r="AC24" s="1249"/>
      <c r="AD24" s="1249"/>
      <c r="AE24" s="1249"/>
      <c r="AF24" s="1249"/>
      <c r="AG24" s="1249"/>
      <c r="AH24" s="1249"/>
      <c r="AI24" s="60"/>
    </row>
    <row r="25" spans="1:42" ht="14.25" customHeight="1">
      <c r="Q25" s="166"/>
      <c r="R25" s="29"/>
      <c r="S25" s="1194" t="str">
        <f>IF(org=0,"Не определено",org)</f>
        <v>АО "ХТК"</v>
      </c>
      <c r="T25" s="1194"/>
      <c r="U25" s="1194"/>
      <c r="V25" s="1194"/>
      <c r="W25" s="1194"/>
      <c r="X25" s="1194"/>
      <c r="Y25" s="1194"/>
      <c r="Z25" s="1194"/>
      <c r="AA25" s="1194"/>
      <c r="AB25" s="1194"/>
      <c r="AC25" s="1194"/>
      <c r="AD25" s="1194"/>
      <c r="AE25" s="1194"/>
      <c r="AF25" s="1194"/>
      <c r="AG25" s="1194"/>
      <c r="AH25" s="1194"/>
      <c r="AI25" s="60"/>
    </row>
    <row r="26" spans="1:42" ht="14.25" hidden="1" customHeight="1">
      <c r="Q26" s="166"/>
      <c r="R26" s="29"/>
      <c r="S26" s="729"/>
      <c r="T26" s="11"/>
      <c r="U26" s="11"/>
      <c r="V26" s="187"/>
      <c r="W26" s="187"/>
      <c r="X26" s="187"/>
      <c r="Y26" s="187"/>
      <c r="Z26" s="187"/>
      <c r="AA26" s="187"/>
      <c r="AB26" s="187"/>
      <c r="AC26" s="187"/>
      <c r="AD26" s="187"/>
      <c r="AE26" s="187"/>
      <c r="AF26" s="187"/>
      <c r="AG26" s="187"/>
      <c r="AH26" s="187"/>
      <c r="AI26" s="187"/>
    </row>
    <row r="27" spans="1:42" s="36" customFormat="1" ht="25.5" hidden="1" customHeight="1">
      <c r="A27" s="18"/>
      <c r="B27" s="18"/>
      <c r="C27" s="18"/>
      <c r="D27" s="18"/>
      <c r="E27" s="18"/>
      <c r="F27" s="18"/>
      <c r="G27" s="18"/>
      <c r="H27" s="18"/>
      <c r="I27" s="18"/>
      <c r="J27" s="18"/>
      <c r="K27" s="18"/>
      <c r="L27" s="744"/>
      <c r="M27" s="18"/>
      <c r="N27" s="18"/>
      <c r="O27" s="18"/>
      <c r="P27" s="81"/>
      <c r="Q27" s="81"/>
      <c r="S27" s="1257" t="s">
        <v>37</v>
      </c>
      <c r="T27" s="1257"/>
      <c r="U27" s="763"/>
      <c r="V27" s="1258" t="str">
        <f>IF(TITLE_NAME_OR_PR_CHANGE="",IF(TITLE_NAME_OR_PR="","",TITLE_NAME_OR_PR),TITLE_NAME_OR_PR_CHANGE)</f>
        <v/>
      </c>
      <c r="W27" s="1258"/>
      <c r="X27" s="1258"/>
      <c r="Y27" s="1258"/>
      <c r="Z27" s="1258"/>
      <c r="AA27" s="12"/>
      <c r="AB27" s="12"/>
      <c r="AC27" s="1258"/>
      <c r="AD27" s="1258"/>
      <c r="AE27" s="1258"/>
      <c r="AF27" s="1258"/>
      <c r="AG27" s="1258"/>
      <c r="AH27" s="1258"/>
      <c r="AI27" s="12"/>
      <c r="AJ27" s="12"/>
      <c r="AK27" s="161"/>
      <c r="AL27" s="69"/>
      <c r="AM27" s="69"/>
      <c r="AN27" s="69"/>
      <c r="AO27" s="69"/>
      <c r="AP27" s="69"/>
    </row>
    <row r="28" spans="1:42" s="36" customFormat="1" ht="18.75" hidden="1" customHeight="1">
      <c r="A28" s="18"/>
      <c r="B28" s="18"/>
      <c r="C28" s="18"/>
      <c r="D28" s="18"/>
      <c r="E28" s="18"/>
      <c r="F28" s="18"/>
      <c r="G28" s="18"/>
      <c r="H28" s="18"/>
      <c r="I28" s="18"/>
      <c r="J28" s="18"/>
      <c r="K28" s="18"/>
      <c r="L28" s="744"/>
      <c r="M28" s="18"/>
      <c r="N28" s="18"/>
      <c r="O28" s="18"/>
      <c r="P28" s="81"/>
      <c r="Q28" s="81"/>
      <c r="S28" s="1257" t="s">
        <v>422</v>
      </c>
      <c r="T28" s="1257"/>
      <c r="U28" s="763"/>
      <c r="V28" s="1267" t="str">
        <f>IF(TITLE_DATE_PR_CHANGE="",IF(TITLE_DATE_PR="","",TITLE_DATE_PR),TITLE_DATE_PR_CHANGE)</f>
        <v/>
      </c>
      <c r="W28" s="1267"/>
      <c r="X28" s="1267"/>
      <c r="Y28" s="1267"/>
      <c r="Z28" s="1267"/>
      <c r="AA28" s="12"/>
      <c r="AB28" s="12"/>
      <c r="AC28" s="1267"/>
      <c r="AD28" s="1267"/>
      <c r="AE28" s="1267"/>
      <c r="AF28" s="1267"/>
      <c r="AG28" s="1267"/>
      <c r="AH28" s="1267"/>
      <c r="AI28" s="12"/>
      <c r="AJ28" s="12"/>
      <c r="AK28" s="161"/>
      <c r="AL28" s="69"/>
      <c r="AM28" s="69"/>
      <c r="AN28" s="69"/>
      <c r="AO28" s="69"/>
      <c r="AP28" s="69"/>
    </row>
    <row r="29" spans="1:42" s="36" customFormat="1" ht="18.75" hidden="1" customHeight="1">
      <c r="A29" s="18"/>
      <c r="B29" s="18"/>
      <c r="C29" s="18"/>
      <c r="D29" s="18"/>
      <c r="E29" s="18"/>
      <c r="F29" s="18"/>
      <c r="G29" s="18"/>
      <c r="H29" s="18"/>
      <c r="I29" s="18"/>
      <c r="J29" s="18"/>
      <c r="K29" s="18"/>
      <c r="L29" s="744"/>
      <c r="M29" s="18"/>
      <c r="N29" s="18"/>
      <c r="O29" s="18"/>
      <c r="P29" s="81"/>
      <c r="Q29" s="81"/>
      <c r="S29" s="1257" t="s">
        <v>423</v>
      </c>
      <c r="T29" s="1257"/>
      <c r="U29" s="763"/>
      <c r="V29" s="1258" t="str">
        <f>IF(TITLE_NUMBER_PR_CHANGE="",IF(TITLE_NUMBER_PR="","",TITLE_NUMBER_PR),TITLE_NUMBER_PR_CHANGE)</f>
        <v/>
      </c>
      <c r="W29" s="1258"/>
      <c r="X29" s="1258"/>
      <c r="Y29" s="1258"/>
      <c r="Z29" s="1258"/>
      <c r="AA29" s="12"/>
      <c r="AB29" s="12"/>
      <c r="AC29" s="1258"/>
      <c r="AD29" s="1258"/>
      <c r="AE29" s="1258"/>
      <c r="AF29" s="1258"/>
      <c r="AG29" s="1258"/>
      <c r="AH29" s="1258"/>
      <c r="AI29" s="12"/>
      <c r="AJ29" s="12"/>
      <c r="AK29" s="161"/>
      <c r="AL29" s="69"/>
      <c r="AM29" s="69"/>
      <c r="AN29" s="69"/>
      <c r="AO29" s="69"/>
      <c r="AP29" s="69"/>
    </row>
    <row r="30" spans="1:42" s="36" customFormat="1" ht="18.75" hidden="1" customHeight="1">
      <c r="A30" s="18"/>
      <c r="B30" s="18"/>
      <c r="C30" s="18"/>
      <c r="D30" s="18"/>
      <c r="E30" s="18"/>
      <c r="F30" s="18"/>
      <c r="G30" s="18"/>
      <c r="H30" s="18"/>
      <c r="I30" s="18"/>
      <c r="J30" s="18"/>
      <c r="K30" s="18"/>
      <c r="L30" s="744"/>
      <c r="M30" s="18"/>
      <c r="N30" s="18"/>
      <c r="O30" s="18"/>
      <c r="P30" s="81"/>
      <c r="Q30" s="81"/>
      <c r="S30" s="1257" t="s">
        <v>38</v>
      </c>
      <c r="T30" s="1257"/>
      <c r="U30" s="763"/>
      <c r="V30" s="1258" t="str">
        <f>IF(TITLE_IST_PUB_CHANGE="",IF(TITLE_IST_PUB="","",TITLE_IST_PUB),TITLE_IST_PUB_CHANGE)</f>
        <v/>
      </c>
      <c r="W30" s="1258"/>
      <c r="X30" s="1258"/>
      <c r="Y30" s="1258"/>
      <c r="Z30" s="1258"/>
      <c r="AA30" s="12"/>
      <c r="AB30" s="12"/>
      <c r="AC30" s="1258"/>
      <c r="AD30" s="1258"/>
      <c r="AE30" s="1258"/>
      <c r="AF30" s="1258"/>
      <c r="AG30" s="1258"/>
      <c r="AH30" s="1258"/>
      <c r="AI30" s="12"/>
      <c r="AJ30" s="12"/>
      <c r="AK30" s="161"/>
      <c r="AL30" s="69"/>
      <c r="AM30" s="69"/>
      <c r="AN30" s="69"/>
      <c r="AO30" s="69"/>
      <c r="AP30" s="69"/>
    </row>
    <row r="31" spans="1:42" ht="14.25" hidden="1" customHeight="1">
      <c r="Q31" s="166"/>
      <c r="R31" s="29"/>
      <c r="S31" s="729"/>
      <c r="T31" s="11"/>
      <c r="U31" s="11"/>
      <c r="V31" s="187"/>
      <c r="W31" s="187"/>
      <c r="X31" s="187"/>
      <c r="Y31" s="187"/>
      <c r="Z31" s="187"/>
      <c r="AA31" s="187"/>
      <c r="AB31" s="187"/>
      <c r="AC31" s="187"/>
      <c r="AD31" s="187"/>
      <c r="AE31" s="187"/>
      <c r="AF31" s="187"/>
      <c r="AG31" s="187"/>
      <c r="AH31" s="187"/>
      <c r="AI31" s="187"/>
    </row>
    <row r="32" spans="1:42" s="36" customFormat="1" ht="18.75" hidden="1" customHeight="1">
      <c r="A32" s="18"/>
      <c r="B32" s="18"/>
      <c r="C32" s="18"/>
      <c r="D32" s="18"/>
      <c r="E32" s="18"/>
      <c r="F32" s="18"/>
      <c r="G32" s="18"/>
      <c r="H32" s="18"/>
      <c r="I32" s="18"/>
      <c r="J32" s="18"/>
      <c r="K32" s="18"/>
      <c r="L32" s="744"/>
      <c r="M32" s="18"/>
      <c r="N32" s="18"/>
      <c r="O32" s="18"/>
      <c r="P32" s="81"/>
      <c r="Q32" s="81"/>
      <c r="S32" s="1257" t="s">
        <v>422</v>
      </c>
      <c r="T32" s="1257"/>
      <c r="U32" s="763"/>
      <c r="V32" s="1267" t="str">
        <f>IF(TITLE_DATE_PR_CHANGE="",IF(TITLE_DATE_PR="","",TITLE_DATE_PR),TITLE_DATE_PR_CHANGE)</f>
        <v/>
      </c>
      <c r="W32" s="1267"/>
      <c r="X32" s="1267"/>
      <c r="Y32" s="1267"/>
      <c r="Z32" s="1267"/>
      <c r="AA32" s="12"/>
      <c r="AB32" s="12"/>
      <c r="AC32" s="1267"/>
      <c r="AD32" s="1267"/>
      <c r="AE32" s="1267"/>
      <c r="AF32" s="1267"/>
      <c r="AG32" s="1267"/>
      <c r="AH32" s="1267"/>
      <c r="AI32" s="12"/>
      <c r="AJ32" s="12"/>
      <c r="AK32" s="161"/>
      <c r="AL32" s="69"/>
      <c r="AM32" s="69"/>
      <c r="AN32" s="69"/>
      <c r="AO32" s="69"/>
      <c r="AP32" s="69"/>
    </row>
    <row r="33" spans="1:42" s="36" customFormat="1" ht="18" hidden="1" customHeight="1">
      <c r="A33" s="18"/>
      <c r="B33" s="18"/>
      <c r="C33" s="18"/>
      <c r="D33" s="18"/>
      <c r="E33" s="18"/>
      <c r="F33" s="18"/>
      <c r="G33" s="18"/>
      <c r="H33" s="18"/>
      <c r="I33" s="18"/>
      <c r="J33" s="18"/>
      <c r="K33" s="18"/>
      <c r="L33" s="744"/>
      <c r="M33" s="18"/>
      <c r="N33" s="18"/>
      <c r="O33" s="18"/>
      <c r="P33" s="81"/>
      <c r="Q33" s="81"/>
      <c r="S33" s="1257" t="s">
        <v>423</v>
      </c>
      <c r="T33" s="1257"/>
      <c r="U33" s="763"/>
      <c r="V33" s="1258" t="str">
        <f>IF(TITLE_NUMBER_PR_CHANGE="",IF(TITLE_NUMBER_PR="","",TITLE_NUMBER_PR),TITLE_NUMBER_PR_CHANGE)</f>
        <v/>
      </c>
      <c r="W33" s="1258"/>
      <c r="X33" s="1258"/>
      <c r="Y33" s="1258"/>
      <c r="Z33" s="1258"/>
      <c r="AA33" s="12"/>
      <c r="AB33" s="12"/>
      <c r="AC33" s="1258"/>
      <c r="AD33" s="1258"/>
      <c r="AE33" s="1258"/>
      <c r="AF33" s="1258"/>
      <c r="AG33" s="1258"/>
      <c r="AH33" s="1258"/>
      <c r="AI33" s="12"/>
      <c r="AJ33" s="12"/>
      <c r="AK33" s="161"/>
      <c r="AL33" s="69"/>
      <c r="AM33" s="69"/>
      <c r="AN33" s="69"/>
      <c r="AO33" s="69"/>
      <c r="AP33" s="69"/>
    </row>
    <row r="34" spans="1:42" s="36" customFormat="1" ht="0.75" customHeight="1">
      <c r="A34" s="18"/>
      <c r="B34" s="18"/>
      <c r="C34" s="18"/>
      <c r="D34" s="18"/>
      <c r="E34" s="18"/>
      <c r="F34" s="18"/>
      <c r="G34" s="18"/>
      <c r="H34" s="18"/>
      <c r="I34" s="18"/>
      <c r="J34" s="18"/>
      <c r="K34" s="18"/>
      <c r="L34" s="744"/>
      <c r="M34" s="18"/>
      <c r="N34" s="18"/>
      <c r="O34" s="18"/>
      <c r="P34" s="81"/>
      <c r="Q34" s="81"/>
      <c r="S34" s="12"/>
      <c r="T34" s="12"/>
      <c r="U34" s="77"/>
      <c r="V34" s="12"/>
      <c r="W34" s="12"/>
      <c r="X34" s="12"/>
      <c r="Y34" s="12"/>
      <c r="Z34" s="12"/>
      <c r="AA34" s="68" t="s">
        <v>426</v>
      </c>
      <c r="AB34" s="68"/>
      <c r="AC34" s="12"/>
      <c r="AD34" s="12"/>
      <c r="AE34" s="12"/>
      <c r="AF34" s="12"/>
      <c r="AG34" s="12"/>
      <c r="AH34" s="12"/>
      <c r="AI34" s="68" t="s">
        <v>426</v>
      </c>
      <c r="AL34" s="69"/>
      <c r="AM34" s="69"/>
      <c r="AN34" s="69"/>
      <c r="AO34" s="69"/>
      <c r="AP34" s="69"/>
    </row>
    <row r="35" spans="1:42" ht="14.25" customHeight="1">
      <c r="Q35" s="166"/>
      <c r="R35" s="29"/>
      <c r="S35" s="729"/>
      <c r="T35" s="11"/>
      <c r="U35" s="709"/>
      <c r="V35" s="1259"/>
      <c r="W35" s="1259"/>
      <c r="X35" s="1259"/>
      <c r="Y35" s="1259"/>
      <c r="Z35" s="1259"/>
      <c r="AA35" s="1259"/>
      <c r="AB35" s="1033"/>
      <c r="AC35" s="1259"/>
      <c r="AD35" s="1259"/>
      <c r="AE35" s="1259"/>
      <c r="AF35" s="1259"/>
      <c r="AG35" s="1259"/>
      <c r="AH35" s="1259"/>
      <c r="AI35" s="1259"/>
    </row>
    <row r="36" spans="1:42" ht="14.25" customHeight="1">
      <c r="Q36" s="166"/>
      <c r="R36" s="29"/>
      <c r="S36" s="1146" t="s">
        <v>299</v>
      </c>
      <c r="T36" s="1146"/>
      <c r="U36" s="1146"/>
      <c r="V36" s="1146"/>
      <c r="W36" s="1146"/>
      <c r="X36" s="1146"/>
      <c r="Y36" s="1146"/>
      <c r="Z36" s="1146"/>
      <c r="AA36" s="1193"/>
      <c r="AB36" s="1193"/>
      <c r="AC36" s="1193"/>
      <c r="AD36" s="1146"/>
      <c r="AE36" s="1146"/>
      <c r="AF36" s="1146"/>
      <c r="AG36" s="1146"/>
      <c r="AH36" s="1146"/>
      <c r="AI36" s="1146"/>
      <c r="AJ36" s="1146"/>
      <c r="AK36" s="1146" t="s">
        <v>300</v>
      </c>
    </row>
    <row r="37" spans="1:42" ht="14.25" customHeight="1">
      <c r="Q37" s="166"/>
      <c r="R37" s="29"/>
      <c r="S37" s="1273" t="s">
        <v>84</v>
      </c>
      <c r="T37" s="1224" t="s">
        <v>498</v>
      </c>
      <c r="U37" s="170"/>
      <c r="V37" s="1275"/>
      <c r="W37" s="1275"/>
      <c r="X37" s="1275"/>
      <c r="Y37" s="1275"/>
      <c r="Z37" s="1275"/>
      <c r="AA37" s="1224" t="s">
        <v>429</v>
      </c>
      <c r="AB37" s="1223" t="s">
        <v>499</v>
      </c>
      <c r="AC37" s="1223" t="s">
        <v>473</v>
      </c>
      <c r="AD37" s="1291" t="s">
        <v>428</v>
      </c>
      <c r="AE37" s="1291"/>
      <c r="AF37" s="1275"/>
      <c r="AG37" s="1275"/>
      <c r="AH37" s="1276"/>
      <c r="AI37" s="1277" t="s">
        <v>429</v>
      </c>
      <c r="AJ37" s="1280" t="s">
        <v>431</v>
      </c>
      <c r="AK37" s="1146"/>
    </row>
    <row r="38" spans="1:42" ht="33.75" customHeight="1">
      <c r="Q38" s="166"/>
      <c r="R38" s="29"/>
      <c r="S38" s="1273"/>
      <c r="T38" s="1224"/>
      <c r="U38" s="595"/>
      <c r="V38" s="1116" t="s">
        <v>476</v>
      </c>
      <c r="W38" s="1146"/>
      <c r="X38" s="1210" t="s">
        <v>435</v>
      </c>
      <c r="Y38" s="1305"/>
      <c r="Z38" s="1305"/>
      <c r="AA38" s="1224"/>
      <c r="AB38" s="1223"/>
      <c r="AC38" s="1223"/>
      <c r="AD38" s="1116" t="s">
        <v>476</v>
      </c>
      <c r="AE38" s="1146"/>
      <c r="AF38" s="1305" t="s">
        <v>435</v>
      </c>
      <c r="AG38" s="1305"/>
      <c r="AH38" s="1211"/>
      <c r="AI38" s="1278"/>
      <c r="AJ38" s="1281"/>
      <c r="AK38" s="1146"/>
    </row>
    <row r="39" spans="1:42" ht="14.25" customHeight="1">
      <c r="Q39" s="166"/>
      <c r="R39" s="29"/>
      <c r="S39" s="1273"/>
      <c r="T39" s="1224"/>
      <c r="U39" s="595"/>
      <c r="V39" s="1337"/>
      <c r="W39" s="1321"/>
      <c r="X39" s="1215"/>
      <c r="Y39" s="1306"/>
      <c r="Z39" s="1306"/>
      <c r="AA39" s="1224"/>
      <c r="AB39" s="1223"/>
      <c r="AC39" s="1223"/>
      <c r="AD39" s="1337"/>
      <c r="AE39" s="1321"/>
      <c r="AF39" s="1306"/>
      <c r="AG39" s="1306"/>
      <c r="AH39" s="1216"/>
      <c r="AI39" s="1278"/>
      <c r="AJ39" s="1281"/>
      <c r="AK39" s="1146"/>
    </row>
    <row r="40" spans="1:42" ht="14.25" customHeight="1">
      <c r="A40" s="18"/>
      <c r="B40" s="18" t="s">
        <v>136</v>
      </c>
      <c r="C40" s="18" t="s">
        <v>137</v>
      </c>
      <c r="D40" s="18" t="s">
        <v>138</v>
      </c>
      <c r="E40" s="744" t="s">
        <v>436</v>
      </c>
      <c r="F40" s="744" t="s">
        <v>437</v>
      </c>
      <c r="G40" s="744" t="s">
        <v>438</v>
      </c>
      <c r="H40" s="744" t="s">
        <v>439</v>
      </c>
      <c r="I40" s="744" t="s">
        <v>440</v>
      </c>
      <c r="J40" s="744" t="s">
        <v>441</v>
      </c>
      <c r="K40" s="744" t="s">
        <v>442</v>
      </c>
      <c r="L40" s="744" t="s">
        <v>417</v>
      </c>
      <c r="Q40" s="166"/>
      <c r="R40" s="29"/>
      <c r="S40" s="1273"/>
      <c r="T40" s="1224"/>
      <c r="U40" s="171"/>
      <c r="V40" s="37" t="s">
        <v>477</v>
      </c>
      <c r="W40" s="37" t="s">
        <v>478</v>
      </c>
      <c r="X40" s="40" t="s">
        <v>445</v>
      </c>
      <c r="Y40" s="1233" t="s">
        <v>446</v>
      </c>
      <c r="Z40" s="1234"/>
      <c r="AA40" s="1224"/>
      <c r="AB40" s="1223"/>
      <c r="AC40" s="1223"/>
      <c r="AD40" s="1039" t="s">
        <v>477</v>
      </c>
      <c r="AE40" s="996" t="s">
        <v>478</v>
      </c>
      <c r="AF40" s="40" t="s">
        <v>445</v>
      </c>
      <c r="AG40" s="1233" t="s">
        <v>446</v>
      </c>
      <c r="AH40" s="1235"/>
      <c r="AI40" s="1279"/>
      <c r="AJ40" s="1282"/>
      <c r="AK40" s="1146"/>
    </row>
    <row r="41" spans="1:42" s="201" customFormat="1" ht="11.25" hidden="1" customHeight="1">
      <c r="A41" s="18"/>
      <c r="B41" s="18"/>
      <c r="C41" s="18"/>
      <c r="D41" s="18"/>
      <c r="E41" s="18"/>
      <c r="F41" s="18"/>
      <c r="G41" s="18"/>
      <c r="H41" s="18"/>
      <c r="I41" s="18"/>
      <c r="J41" s="18"/>
      <c r="K41" s="18"/>
      <c r="L41" s="744"/>
      <c r="M41" s="34"/>
      <c r="N41" s="34"/>
      <c r="O41" s="34"/>
      <c r="P41" s="288"/>
      <c r="Q41" s="714"/>
      <c r="R41" s="714">
        <v>1</v>
      </c>
      <c r="S41" s="731" t="s">
        <v>105</v>
      </c>
      <c r="T41" s="715" t="s">
        <v>106</v>
      </c>
      <c r="U41" s="710" t="str">
        <f ca="1">OFFSET(U41,0,-1)</f>
        <v>2</v>
      </c>
      <c r="V41" s="716">
        <f ca="1">OFFSET(V41,0,-1)+1</f>
        <v>3</v>
      </c>
      <c r="W41" s="716">
        <f ca="1">OFFSET(W41,0,-1)+1</f>
        <v>4</v>
      </c>
      <c r="X41" s="716">
        <f ca="1">OFFSET(X41,0,-1)+1</f>
        <v>5</v>
      </c>
      <c r="Y41" s="1272">
        <f ca="1">OFFSET(Y41,0,-1)+1</f>
        <v>6</v>
      </c>
      <c r="Z41" s="1272"/>
      <c r="AA41" s="284">
        <f ca="1">OFFSET(AA41,0,-2)+1</f>
        <v>7</v>
      </c>
      <c r="AB41" s="284"/>
      <c r="AC41" s="284"/>
      <c r="AD41" s="716">
        <f ca="1">OFFSET(AD41,0,-1)+1</f>
        <v>1</v>
      </c>
      <c r="AE41" s="716">
        <f ca="1">OFFSET(AE41,0,-1)+1</f>
        <v>2</v>
      </c>
      <c r="AF41" s="716">
        <f ca="1">OFFSET(AF41,0,-1)+1</f>
        <v>3</v>
      </c>
      <c r="AG41" s="1272">
        <f ca="1">OFFSET(AG41,0,-1)+1</f>
        <v>4</v>
      </c>
      <c r="AH41" s="1272"/>
      <c r="AI41" s="716">
        <f ca="1">OFFSET(AI41,0,-2)+1</f>
        <v>5</v>
      </c>
      <c r="AJ41" s="710">
        <f ca="1">OFFSET(AJ41,0,-1)</f>
        <v>5</v>
      </c>
      <c r="AK41" s="716">
        <f ca="1">OFFSET(AK41,0,-1)+1</f>
        <v>6</v>
      </c>
      <c r="AL41" s="68"/>
      <c r="AM41" s="68"/>
      <c r="AN41" s="68"/>
      <c r="AO41" s="68"/>
      <c r="AP41" s="68"/>
    </row>
    <row r="42" spans="1:42" ht="102" customHeight="1">
      <c r="A42" s="721" t="s">
        <v>205</v>
      </c>
      <c r="B42" s="721"/>
      <c r="C42" s="721"/>
      <c r="D42" s="721"/>
      <c r="E42" s="1289">
        <v>1</v>
      </c>
      <c r="F42" s="721"/>
      <c r="G42" s="721"/>
      <c r="H42" s="721"/>
      <c r="I42" s="721"/>
      <c r="J42" s="721"/>
      <c r="K42" s="721"/>
      <c r="L42" s="744"/>
      <c r="M42" s="334"/>
      <c r="N42" s="334"/>
      <c r="O42" s="334"/>
      <c r="Q42" s="62"/>
      <c r="R42" s="205"/>
      <c r="S42" s="698">
        <f>INDEX(PT_DIFFERENTIATION_NUM_NTAR,MATCH(A42,PT_DIFFERENTIATION_NTAR_ID,0))</f>
        <v>0</v>
      </c>
      <c r="T42" s="67" t="s">
        <v>124</v>
      </c>
      <c r="U42" s="169"/>
      <c r="V42" s="1252"/>
      <c r="W42" s="1252"/>
      <c r="X42" s="1252"/>
      <c r="Y42" s="1252"/>
      <c r="Z42" s="1252"/>
      <c r="AA42" s="1253"/>
      <c r="AB42" s="1032"/>
      <c r="AC42" s="1252"/>
      <c r="AD42" s="1252"/>
      <c r="AE42" s="1252"/>
      <c r="AF42" s="1252"/>
      <c r="AG42" s="1252"/>
      <c r="AH42" s="1252"/>
      <c r="AI42" s="1252"/>
      <c r="AJ42" s="1253"/>
      <c r="AK42" s="71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row>
    <row r="43" spans="1:42" ht="21" customHeight="1">
      <c r="A43" s="721" t="s">
        <v>205</v>
      </c>
      <c r="B43" s="721" t="s">
        <v>206</v>
      </c>
      <c r="C43" s="721"/>
      <c r="D43" s="721"/>
      <c r="E43" s="1290"/>
      <c r="F43" s="1289">
        <v>1</v>
      </c>
      <c r="G43" s="721"/>
      <c r="H43" s="721"/>
      <c r="I43" s="721"/>
      <c r="J43" s="721"/>
      <c r="K43" s="721"/>
      <c r="L43" s="744"/>
      <c r="M43" s="334"/>
      <c r="N43" s="334"/>
      <c r="O43" s="334"/>
      <c r="P43" s="299"/>
      <c r="Q43" s="792"/>
      <c r="R43" s="203"/>
      <c r="S43" s="698" t="str">
        <f>INDEX(PT_DIFFERENTIATION_NUM_TER,MATCH(B43,PT_DIFFERENTIATION_TER_ID,0))</f>
        <v>.</v>
      </c>
      <c r="T43" s="175" t="s">
        <v>396</v>
      </c>
      <c r="U43" s="169"/>
      <c r="V43" s="1252"/>
      <c r="W43" s="1252"/>
      <c r="X43" s="1252"/>
      <c r="Y43" s="1252"/>
      <c r="Z43" s="1252"/>
      <c r="AA43" s="1253"/>
      <c r="AB43" s="1032"/>
      <c r="AC43" s="1252"/>
      <c r="AD43" s="1252"/>
      <c r="AE43" s="1252"/>
      <c r="AF43" s="1252"/>
      <c r="AG43" s="1252"/>
      <c r="AH43" s="1252"/>
      <c r="AI43" s="1252"/>
      <c r="AJ43" s="1253"/>
      <c r="AK43" s="718" t="s">
        <v>397</v>
      </c>
      <c r="AM43" s="69"/>
      <c r="AN43" s="69" t="str">
        <f t="shared" si="1"/>
        <v>Территория действия тарифа</v>
      </c>
      <c r="AO43" s="69"/>
      <c r="AP43" s="69"/>
    </row>
    <row r="44" spans="1:42" ht="23.25" customHeight="1">
      <c r="A44" s="721" t="s">
        <v>205</v>
      </c>
      <c r="B44" s="721" t="s">
        <v>206</v>
      </c>
      <c r="C44" s="721" t="s">
        <v>207</v>
      </c>
      <c r="D44" s="721"/>
      <c r="E44" s="1290"/>
      <c r="F44" s="1290"/>
      <c r="G44" s="1289">
        <v>1</v>
      </c>
      <c r="H44" s="721"/>
      <c r="I44" s="721"/>
      <c r="J44" s="721"/>
      <c r="K44" s="721"/>
      <c r="L44" s="744"/>
      <c r="M44" s="334"/>
      <c r="N44" s="334"/>
      <c r="O44" s="334"/>
      <c r="P44" s="129"/>
      <c r="Q44" s="792"/>
      <c r="R44" s="203"/>
      <c r="S44" s="698" t="str">
        <f>INDEX(PT_DIFFERENTIATION_NUM_CS,MATCH(C44,PT_DIFFERENTIATION_CS_ID,0))</f>
        <v>..</v>
      </c>
      <c r="T44" s="176" t="s">
        <v>398</v>
      </c>
      <c r="U44" s="169"/>
      <c r="V44" s="1252"/>
      <c r="W44" s="1252"/>
      <c r="X44" s="1252"/>
      <c r="Y44" s="1252"/>
      <c r="Z44" s="1252"/>
      <c r="AA44" s="1253"/>
      <c r="AB44" s="1032"/>
      <c r="AC44" s="1252"/>
      <c r="AD44" s="1252"/>
      <c r="AE44" s="1252"/>
      <c r="AF44" s="1252"/>
      <c r="AG44" s="1252"/>
      <c r="AH44" s="1252"/>
      <c r="AI44" s="1252"/>
      <c r="AJ44" s="1253"/>
      <c r="AK44" s="718" t="s">
        <v>399</v>
      </c>
      <c r="AM44" s="69"/>
      <c r="AN44" s="69" t="str">
        <f t="shared" si="1"/>
        <v xml:space="preserve">Наименование системы теплоснабжения </v>
      </c>
      <c r="AO44" s="69"/>
      <c r="AP44" s="69"/>
    </row>
    <row r="45" spans="1:42" ht="21" customHeight="1">
      <c r="A45" s="721" t="s">
        <v>205</v>
      </c>
      <c r="B45" s="721" t="s">
        <v>206</v>
      </c>
      <c r="C45" s="721" t="s">
        <v>207</v>
      </c>
      <c r="D45" s="721" t="s">
        <v>208</v>
      </c>
      <c r="E45" s="1290"/>
      <c r="F45" s="1290"/>
      <c r="G45" s="1290"/>
      <c r="H45" s="1289">
        <v>1</v>
      </c>
      <c r="I45" s="721"/>
      <c r="J45" s="721"/>
      <c r="K45" s="721"/>
      <c r="L45" s="744"/>
      <c r="M45" s="334"/>
      <c r="N45" s="334"/>
      <c r="O45" s="334"/>
      <c r="P45" s="129"/>
      <c r="Q45" s="792"/>
      <c r="R45" s="203"/>
      <c r="S45" s="698" t="str">
        <f>INDEX(PT_DIFFERENTIATION_NUM_IST_TE,MATCH(D45,PT_DIFFERENTIATION_IST_TE_ID,0))</f>
        <v>...</v>
      </c>
      <c r="T45" s="177" t="s">
        <v>400</v>
      </c>
      <c r="U45" s="169"/>
      <c r="V45" s="1252"/>
      <c r="W45" s="1252"/>
      <c r="X45" s="1252"/>
      <c r="Y45" s="1252"/>
      <c r="Z45" s="1252"/>
      <c r="AA45" s="1253"/>
      <c r="AB45" s="1032"/>
      <c r="AC45" s="1252"/>
      <c r="AD45" s="1252"/>
      <c r="AE45" s="1252"/>
      <c r="AF45" s="1252"/>
      <c r="AG45" s="1252"/>
      <c r="AH45" s="1252"/>
      <c r="AI45" s="1252"/>
      <c r="AJ45" s="1253"/>
      <c r="AK45" s="718" t="s">
        <v>401</v>
      </c>
      <c r="AM45" s="69"/>
      <c r="AN45" s="69" t="str">
        <f t="shared" si="1"/>
        <v xml:space="preserve">Источник тепловой энергии  </v>
      </c>
      <c r="AO45" s="69"/>
      <c r="AP45" s="69"/>
    </row>
    <row r="46" spans="1:42" s="68" customFormat="1" ht="0" hidden="1" customHeight="1">
      <c r="A46" s="764" t="s">
        <v>205</v>
      </c>
      <c r="B46" s="764" t="s">
        <v>206</v>
      </c>
      <c r="C46" s="764" t="s">
        <v>207</v>
      </c>
      <c r="D46" s="764" t="s">
        <v>208</v>
      </c>
      <c r="E46" s="1290"/>
      <c r="F46" s="1290"/>
      <c r="G46" s="1290"/>
      <c r="H46" s="1290"/>
      <c r="I46" s="1146" t="str">
        <f>S45&amp;".1"</f>
        <v>....1</v>
      </c>
      <c r="J46" s="764"/>
      <c r="K46" s="764"/>
      <c r="L46" s="765" t="s">
        <v>402</v>
      </c>
      <c r="M46" s="711"/>
      <c r="N46" s="711"/>
      <c r="O46" s="711"/>
      <c r="P46" s="1264">
        <v>1</v>
      </c>
      <c r="Q46" s="120"/>
      <c r="R46" s="206"/>
      <c r="S46" s="353"/>
      <c r="T46" s="769"/>
      <c r="U46" s="770"/>
      <c r="V46" s="1295"/>
      <c r="W46" s="1295"/>
      <c r="X46" s="1295"/>
      <c r="Y46" s="1295"/>
      <c r="Z46" s="1295"/>
      <c r="AA46" s="1296"/>
      <c r="AB46" s="1034"/>
      <c r="AC46" s="1295"/>
      <c r="AD46" s="1295"/>
      <c r="AE46" s="1295"/>
      <c r="AF46" s="1295"/>
      <c r="AG46" s="1295"/>
      <c r="AH46" s="1295"/>
      <c r="AI46" s="1295"/>
      <c r="AJ46" s="1296"/>
      <c r="AK46" s="771"/>
      <c r="AM46" s="69"/>
      <c r="AN46" s="69" t="str">
        <f t="shared" si="1"/>
        <v/>
      </c>
      <c r="AO46" s="69"/>
      <c r="AP46" s="69"/>
    </row>
    <row r="47" spans="1:42" s="68" customFormat="1" ht="0" hidden="1" customHeight="1">
      <c r="A47" s="764" t="s">
        <v>205</v>
      </c>
      <c r="B47" s="764" t="s">
        <v>206</v>
      </c>
      <c r="C47" s="764" t="s">
        <v>207</v>
      </c>
      <c r="D47" s="764" t="s">
        <v>208</v>
      </c>
      <c r="E47" s="1290"/>
      <c r="F47" s="1290"/>
      <c r="G47" s="1290"/>
      <c r="H47" s="1290"/>
      <c r="I47" s="1117"/>
      <c r="J47" s="1146" t="str">
        <f>S45&amp;".1"</f>
        <v>....1</v>
      </c>
      <c r="K47" s="764"/>
      <c r="L47" s="765"/>
      <c r="M47" s="711"/>
      <c r="N47" s="711"/>
      <c r="O47" s="711"/>
      <c r="P47" s="1264"/>
      <c r="Q47" s="1264">
        <v>1</v>
      </c>
      <c r="R47" s="207"/>
      <c r="S47" s="353"/>
      <c r="T47" s="784"/>
      <c r="U47" s="770"/>
      <c r="V47" s="1295"/>
      <c r="W47" s="1295"/>
      <c r="X47" s="1295"/>
      <c r="Y47" s="1295"/>
      <c r="Z47" s="1295"/>
      <c r="AA47" s="1296"/>
      <c r="AB47" s="1034"/>
      <c r="AC47" s="1295"/>
      <c r="AD47" s="1295"/>
      <c r="AE47" s="1295"/>
      <c r="AF47" s="1295"/>
      <c r="AG47" s="1295"/>
      <c r="AH47" s="1295"/>
      <c r="AI47" s="1295"/>
      <c r="AJ47" s="1296"/>
      <c r="AK47" s="771"/>
      <c r="AM47" s="69"/>
      <c r="AN47" s="69" t="str">
        <f t="shared" si="1"/>
        <v/>
      </c>
      <c r="AO47" s="69"/>
      <c r="AP47" s="69"/>
    </row>
    <row r="48" spans="1:42" ht="21" customHeight="1">
      <c r="A48" s="721" t="s">
        <v>205</v>
      </c>
      <c r="B48" s="721" t="s">
        <v>206</v>
      </c>
      <c r="C48" s="721" t="s">
        <v>207</v>
      </c>
      <c r="D48" s="721" t="s">
        <v>208</v>
      </c>
      <c r="E48" s="1290"/>
      <c r="F48" s="1290"/>
      <c r="G48" s="1290"/>
      <c r="H48" s="1290"/>
      <c r="I48" s="1117"/>
      <c r="J48" s="1117"/>
      <c r="K48" s="42" t="str">
        <f>S45&amp;".1"</f>
        <v>....1</v>
      </c>
      <c r="L48" s="744"/>
      <c r="P48" s="1264"/>
      <c r="Q48" s="1264"/>
      <c r="R48" s="207">
        <v>1</v>
      </c>
      <c r="S48" s="1036" t="str">
        <f>$K48</f>
        <v>....1</v>
      </c>
      <c r="T48" s="1035"/>
      <c r="U48" s="169"/>
      <c r="V48" s="304"/>
      <c r="W48" s="717"/>
      <c r="X48" s="933"/>
      <c r="Y48" s="295" t="s">
        <v>62</v>
      </c>
      <c r="Z48" s="933"/>
      <c r="AA48" s="295" t="s">
        <v>62</v>
      </c>
      <c r="AB48" s="1038"/>
      <c r="AC48" s="1037" t="s">
        <v>18</v>
      </c>
      <c r="AD48" s="304"/>
      <c r="AE48" s="717"/>
      <c r="AF48" s="933"/>
      <c r="AG48" s="295" t="s">
        <v>62</v>
      </c>
      <c r="AH48" s="933"/>
      <c r="AI48" s="295" t="s">
        <v>62</v>
      </c>
      <c r="AJ48" s="756"/>
      <c r="AK48" s="1260" t="s">
        <v>479</v>
      </c>
      <c r="AL48" s="68" t="e">
        <f ca="1">STRCHECKDATE(#REF!)</f>
        <v>#NAME?</v>
      </c>
      <c r="AM48" s="69"/>
      <c r="AN48" s="69" t="str">
        <f t="shared" si="1"/>
        <v/>
      </c>
      <c r="AO48" s="69"/>
      <c r="AP48" s="69"/>
    </row>
    <row r="49" spans="1:42" ht="11.25" customHeight="1">
      <c r="A49" s="721" t="s">
        <v>205</v>
      </c>
      <c r="B49" s="721" t="s">
        <v>206</v>
      </c>
      <c r="C49" s="721" t="s">
        <v>207</v>
      </c>
      <c r="D49" s="721" t="s">
        <v>208</v>
      </c>
      <c r="E49" s="1290"/>
      <c r="F49" s="1290"/>
      <c r="G49" s="1290"/>
      <c r="H49" s="1290"/>
      <c r="I49" s="1117"/>
      <c r="J49" s="1146"/>
      <c r="K49" s="721"/>
      <c r="L49" s="744"/>
      <c r="P49" s="1264"/>
      <c r="Q49" s="1264"/>
      <c r="R49" s="206"/>
      <c r="S49" s="732"/>
      <c r="T49" s="164" t="s">
        <v>467</v>
      </c>
      <c r="U49" s="211"/>
      <c r="V49" s="211"/>
      <c r="W49" s="211"/>
      <c r="X49" s="211"/>
      <c r="Y49" s="211"/>
      <c r="Z49" s="211"/>
      <c r="AA49" s="188"/>
      <c r="AB49" s="211"/>
      <c r="AC49" s="211"/>
      <c r="AD49" s="211"/>
      <c r="AE49" s="211"/>
      <c r="AF49" s="211"/>
      <c r="AG49" s="211"/>
      <c r="AH49" s="211"/>
      <c r="AI49" s="211"/>
      <c r="AJ49" s="188"/>
      <c r="AK49" s="1262"/>
      <c r="AM49" s="69"/>
      <c r="AN49" s="69" t="str">
        <f t="shared" si="1"/>
        <v>Добавить строку</v>
      </c>
      <c r="AO49" s="69"/>
      <c r="AP49" s="69"/>
    </row>
    <row r="50" spans="1:42" s="68" customFormat="1" ht="0.75" customHeight="1">
      <c r="A50" s="764" t="s">
        <v>205</v>
      </c>
      <c r="B50" s="764" t="s">
        <v>206</v>
      </c>
      <c r="C50" s="764" t="s">
        <v>207</v>
      </c>
      <c r="D50" s="764" t="s">
        <v>208</v>
      </c>
      <c r="E50" s="1290"/>
      <c r="F50" s="1290"/>
      <c r="G50" s="1290"/>
      <c r="H50" s="1290"/>
      <c r="I50" s="1146"/>
      <c r="J50" s="764"/>
      <c r="K50" s="764"/>
      <c r="L50" s="765"/>
      <c r="M50" s="711"/>
      <c r="N50" s="711"/>
      <c r="O50" s="711"/>
      <c r="P50" s="1264"/>
      <c r="Q50" s="120"/>
      <c r="R50" s="206"/>
      <c r="S50" s="772"/>
      <c r="T50" s="773" t="s">
        <v>411</v>
      </c>
      <c r="U50" s="774"/>
      <c r="V50" s="774"/>
      <c r="W50" s="774"/>
      <c r="X50" s="774"/>
      <c r="Y50" s="774"/>
      <c r="Z50" s="774"/>
      <c r="AA50" s="774"/>
      <c r="AB50" s="774"/>
      <c r="AC50" s="774"/>
      <c r="AD50" s="774"/>
      <c r="AE50" s="774"/>
      <c r="AF50" s="774"/>
      <c r="AG50" s="774"/>
      <c r="AH50" s="774"/>
      <c r="AI50" s="774"/>
      <c r="AJ50" s="774"/>
      <c r="AK50" s="775"/>
      <c r="AM50" s="69"/>
      <c r="AN50" s="69" t="str">
        <f t="shared" si="1"/>
        <v>Добавить группу потребителей</v>
      </c>
      <c r="AO50" s="69"/>
      <c r="AP50" s="69"/>
    </row>
    <row r="51" spans="1:42" s="201" customFormat="1" ht="0.75" customHeight="1">
      <c r="A51" s="764" t="s">
        <v>205</v>
      </c>
      <c r="B51" s="764" t="s">
        <v>206</v>
      </c>
      <c r="C51" s="764" t="s">
        <v>207</v>
      </c>
      <c r="D51" s="764" t="s">
        <v>208</v>
      </c>
      <c r="E51" s="1290"/>
      <c r="F51" s="1290"/>
      <c r="G51" s="1290"/>
      <c r="H51" s="1289"/>
      <c r="I51" s="764"/>
      <c r="J51" s="764"/>
      <c r="K51" s="764"/>
      <c r="L51" s="765"/>
      <c r="M51" s="766"/>
      <c r="N51" s="766"/>
      <c r="P51" s="102"/>
      <c r="Q51" s="745"/>
      <c r="R51" s="785"/>
      <c r="S51" s="772"/>
      <c r="T51" s="773"/>
      <c r="U51" s="774"/>
      <c r="V51" s="774"/>
      <c r="W51" s="774"/>
      <c r="X51" s="774"/>
      <c r="Y51" s="774"/>
      <c r="Z51" s="774"/>
      <c r="AA51" s="774"/>
      <c r="AB51" s="774"/>
      <c r="AC51" s="774"/>
      <c r="AD51" s="774"/>
      <c r="AE51" s="774"/>
      <c r="AF51" s="774"/>
      <c r="AG51" s="774"/>
      <c r="AH51" s="774"/>
      <c r="AI51" s="774"/>
      <c r="AJ51" s="774"/>
      <c r="AK51" s="775"/>
      <c r="AL51" s="68"/>
      <c r="AM51" s="69"/>
      <c r="AN51" s="69" t="str">
        <f t="shared" si="1"/>
        <v/>
      </c>
      <c r="AO51" s="69"/>
      <c r="AP51" s="69"/>
    </row>
    <row r="52" spans="1:42" s="68" customFormat="1" ht="0.75" customHeight="1">
      <c r="A52" s="764" t="s">
        <v>205</v>
      </c>
      <c r="B52" s="764" t="s">
        <v>206</v>
      </c>
      <c r="C52" s="764" t="s">
        <v>207</v>
      </c>
      <c r="D52" s="764"/>
      <c r="E52" s="1290"/>
      <c r="F52" s="1290"/>
      <c r="G52" s="1289"/>
      <c r="H52" s="764"/>
      <c r="I52" s="764"/>
      <c r="J52" s="764"/>
      <c r="K52" s="764"/>
      <c r="L52" s="765"/>
      <c r="M52" s="766"/>
      <c r="N52" s="766"/>
      <c r="O52" s="201"/>
      <c r="P52" s="102"/>
      <c r="Q52" s="745"/>
      <c r="R52" s="102"/>
      <c r="S52" s="750"/>
      <c r="T52" s="752" t="s">
        <v>413</v>
      </c>
      <c r="U52" s="311"/>
      <c r="V52" s="311"/>
      <c r="W52" s="311"/>
      <c r="X52" s="311"/>
      <c r="Y52" s="311"/>
      <c r="Z52" s="311"/>
      <c r="AA52" s="311"/>
      <c r="AB52" s="311"/>
      <c r="AC52" s="311"/>
      <c r="AD52" s="311"/>
      <c r="AE52" s="311"/>
      <c r="AF52" s="311"/>
      <c r="AG52" s="311"/>
      <c r="AH52" s="311"/>
      <c r="AI52" s="311"/>
      <c r="AJ52" s="311"/>
      <c r="AK52" s="311"/>
      <c r="AM52" s="69"/>
      <c r="AN52" s="69" t="str">
        <f t="shared" si="1"/>
        <v>Добавить источник для дифференциации</v>
      </c>
      <c r="AO52" s="69"/>
      <c r="AP52" s="69"/>
    </row>
    <row r="53" spans="1:42" s="68" customFormat="1" ht="0.75" customHeight="1">
      <c r="A53" s="764" t="s">
        <v>205</v>
      </c>
      <c r="B53" s="764" t="s">
        <v>206</v>
      </c>
      <c r="C53" s="764"/>
      <c r="D53" s="764"/>
      <c r="E53" s="1290"/>
      <c r="F53" s="1289"/>
      <c r="G53" s="764"/>
      <c r="H53" s="764"/>
      <c r="I53" s="764"/>
      <c r="J53" s="764"/>
      <c r="K53" s="764"/>
      <c r="L53" s="765"/>
      <c r="M53" s="767"/>
      <c r="N53" s="767"/>
      <c r="O53" s="201"/>
      <c r="P53" s="102"/>
      <c r="Q53" s="745"/>
      <c r="R53" s="102"/>
      <c r="S53" s="750"/>
      <c r="T53" s="752" t="s">
        <v>414</v>
      </c>
      <c r="U53" s="311"/>
      <c r="V53" s="311"/>
      <c r="W53" s="311"/>
      <c r="X53" s="311"/>
      <c r="Y53" s="311"/>
      <c r="Z53" s="311"/>
      <c r="AA53" s="311"/>
      <c r="AB53" s="311"/>
      <c r="AC53" s="311"/>
      <c r="AD53" s="311"/>
      <c r="AE53" s="311"/>
      <c r="AF53" s="311"/>
      <c r="AG53" s="311"/>
      <c r="AH53" s="311"/>
      <c r="AI53" s="311"/>
      <c r="AJ53" s="311"/>
      <c r="AK53" s="311"/>
      <c r="AM53" s="69"/>
      <c r="AN53" s="69" t="str">
        <f t="shared" si="1"/>
        <v>Добавить централизованную систему для дифференциации</v>
      </c>
      <c r="AO53" s="69"/>
      <c r="AP53" s="69"/>
    </row>
    <row r="54" spans="1:42" s="68" customFormat="1" ht="0.75" customHeight="1">
      <c r="A54" s="764" t="s">
        <v>205</v>
      </c>
      <c r="B54" s="764"/>
      <c r="C54" s="764"/>
      <c r="D54" s="764"/>
      <c r="E54" s="1290"/>
      <c r="F54" s="764"/>
      <c r="G54" s="764"/>
      <c r="H54" s="764"/>
      <c r="I54" s="764"/>
      <c r="J54" s="764"/>
      <c r="K54" s="764"/>
      <c r="L54" s="765"/>
      <c r="M54" s="767"/>
      <c r="N54" s="767"/>
      <c r="O54" s="201"/>
      <c r="P54" s="102"/>
      <c r="Q54" s="745"/>
      <c r="R54" s="102"/>
      <c r="S54" s="750"/>
      <c r="T54" s="752" t="s">
        <v>415</v>
      </c>
      <c r="U54" s="311"/>
      <c r="V54" s="311"/>
      <c r="W54" s="311"/>
      <c r="X54" s="311"/>
      <c r="Y54" s="311"/>
      <c r="Z54" s="311"/>
      <c r="AA54" s="311"/>
      <c r="AB54" s="311"/>
      <c r="AC54" s="311"/>
      <c r="AD54" s="311"/>
      <c r="AE54" s="311"/>
      <c r="AF54" s="311"/>
      <c r="AG54" s="311"/>
      <c r="AH54" s="311"/>
      <c r="AI54" s="311"/>
      <c r="AJ54" s="311"/>
      <c r="AK54" s="311"/>
      <c r="AM54" s="69"/>
      <c r="AN54" s="69" t="str">
        <f t="shared" si="1"/>
        <v>Добавить территорию для дифференциации</v>
      </c>
      <c r="AO54" s="69"/>
      <c r="AP54" s="69"/>
    </row>
    <row r="55" spans="1:42" s="68" customFormat="1" ht="0.75" customHeight="1">
      <c r="A55" s="764" t="s">
        <v>205</v>
      </c>
      <c r="B55" s="764"/>
      <c r="C55" s="764"/>
      <c r="D55" s="764"/>
      <c r="E55" s="1289"/>
      <c r="F55" s="764"/>
      <c r="G55" s="764"/>
      <c r="H55" s="764"/>
      <c r="I55" s="764"/>
      <c r="J55" s="764"/>
      <c r="K55" s="764"/>
      <c r="L55" s="765"/>
      <c r="M55" s="767"/>
      <c r="N55" s="767"/>
      <c r="O55" s="201"/>
      <c r="P55" s="102"/>
      <c r="Q55" s="745"/>
      <c r="R55" s="102"/>
      <c r="S55" s="750"/>
      <c r="T55" s="752" t="s">
        <v>415</v>
      </c>
      <c r="U55" s="311"/>
      <c r="V55" s="311"/>
      <c r="W55" s="311"/>
      <c r="X55" s="311"/>
      <c r="Y55" s="311"/>
      <c r="Z55" s="311"/>
      <c r="AA55" s="311"/>
      <c r="AB55" s="311"/>
      <c r="AC55" s="311"/>
      <c r="AD55" s="311"/>
      <c r="AE55" s="311"/>
      <c r="AF55" s="311"/>
      <c r="AG55" s="311"/>
      <c r="AH55" s="311"/>
      <c r="AI55" s="311"/>
      <c r="AJ55" s="311"/>
      <c r="AK55" s="311"/>
      <c r="AM55" s="69"/>
      <c r="AN55" s="69" t="str">
        <f t="shared" si="1"/>
        <v>Добавить территорию для дифференциации</v>
      </c>
      <c r="AO55" s="69"/>
      <c r="AP55" s="69"/>
    </row>
    <row r="56" spans="1:42" s="68" customFormat="1" ht="0.75" customHeight="1">
      <c r="A56" s="764"/>
      <c r="B56" s="764"/>
      <c r="C56" s="764"/>
      <c r="D56" s="764"/>
      <c r="E56" s="764"/>
      <c r="F56" s="764"/>
      <c r="G56" s="764"/>
      <c r="H56" s="764"/>
      <c r="I56" s="764"/>
      <c r="J56" s="764"/>
      <c r="K56" s="764"/>
      <c r="L56" s="765"/>
      <c r="M56" s="767"/>
      <c r="N56" s="767"/>
      <c r="O56" s="201"/>
      <c r="P56" s="102"/>
      <c r="Q56" s="745"/>
      <c r="R56" s="102"/>
      <c r="S56" s="750"/>
      <c r="T56" s="752" t="s">
        <v>447</v>
      </c>
      <c r="U56" s="311"/>
      <c r="V56" s="311"/>
      <c r="W56" s="311"/>
      <c r="X56" s="311"/>
      <c r="Y56" s="311"/>
      <c r="Z56" s="311"/>
      <c r="AA56" s="311"/>
      <c r="AB56" s="311"/>
      <c r="AC56" s="311"/>
      <c r="AD56" s="311"/>
      <c r="AE56" s="311"/>
      <c r="AF56" s="311"/>
      <c r="AG56" s="311"/>
      <c r="AH56" s="311"/>
      <c r="AI56" s="311"/>
      <c r="AJ56" s="311"/>
      <c r="AK56" s="311"/>
      <c r="AM56" s="69"/>
      <c r="AN56" s="69" t="str">
        <f t="shared" si="1"/>
        <v>Добавить наименование тарифа</v>
      </c>
      <c r="AO56" s="69"/>
      <c r="AP56" s="69"/>
    </row>
    <row r="57" spans="1:42" ht="11.25" customHeight="1">
      <c r="M57" s="12"/>
      <c r="N57" s="12"/>
      <c r="O57" s="12"/>
      <c r="P57" s="63"/>
      <c r="Q57" s="63"/>
      <c r="R57" s="12"/>
      <c r="S57" s="12"/>
      <c r="AL57" s="12"/>
      <c r="AM57" s="12"/>
      <c r="AN57" s="12"/>
      <c r="AO57" s="12"/>
      <c r="AP57" s="12"/>
    </row>
    <row r="58" spans="1:42" ht="18.75" customHeight="1">
      <c r="O58" s="12"/>
      <c r="S58" s="196"/>
      <c r="T58" s="1285"/>
      <c r="U58" s="1285"/>
      <c r="V58" s="1285"/>
      <c r="W58" s="1285"/>
      <c r="X58" s="1285"/>
      <c r="Y58" s="1285"/>
      <c r="Z58" s="1285"/>
      <c r="AA58" s="1285"/>
      <c r="AB58" s="1285"/>
      <c r="AC58" s="1285"/>
      <c r="AD58" s="1285"/>
      <c r="AE58" s="1285"/>
      <c r="AF58" s="1285"/>
      <c r="AG58" s="1285"/>
      <c r="AH58" s="1285"/>
      <c r="AI58" s="1285"/>
      <c r="AJ58" s="1285"/>
      <c r="AK58" s="1285"/>
    </row>
    <row r="59" spans="1:42" ht="19.5" customHeight="1">
      <c r="O59" s="12"/>
      <c r="T59" s="1285"/>
      <c r="U59" s="1285"/>
      <c r="V59" s="1285"/>
      <c r="W59" s="1285"/>
      <c r="X59" s="1285"/>
      <c r="Y59" s="1285"/>
      <c r="Z59" s="1285"/>
      <c r="AA59" s="1285"/>
      <c r="AB59" s="1285"/>
      <c r="AC59" s="1285"/>
      <c r="AD59" s="1285"/>
      <c r="AE59" s="1285"/>
      <c r="AF59" s="1285"/>
      <c r="AG59" s="1285"/>
      <c r="AH59" s="1285"/>
      <c r="AI59" s="1285"/>
      <c r="AJ59" s="1285"/>
      <c r="AK59" s="1285"/>
    </row>
    <row r="60" spans="1:42" ht="14.25" customHeight="1">
      <c r="O60" s="12"/>
      <c r="T60" s="364"/>
      <c r="U60" s="364"/>
      <c r="V60" s="364"/>
      <c r="W60" s="364"/>
      <c r="X60" s="364"/>
      <c r="Y60" s="364"/>
      <c r="Z60" s="364"/>
      <c r="AA60" s="364"/>
      <c r="AB60" s="364"/>
      <c r="AC60" s="364"/>
      <c r="AD60" s="364"/>
      <c r="AE60" s="364"/>
      <c r="AF60" s="364"/>
      <c r="AG60" s="364"/>
      <c r="AH60" s="364"/>
      <c r="AI60" s="364"/>
      <c r="AJ60" s="364"/>
      <c r="AK60" s="364"/>
    </row>
    <row r="61" spans="1:42" ht="18.75" customHeight="1">
      <c r="O61" s="12"/>
      <c r="T61" s="1285"/>
      <c r="U61" s="1285"/>
      <c r="V61" s="1285"/>
      <c r="W61" s="1285"/>
      <c r="X61" s="1285"/>
      <c r="Y61" s="1285"/>
      <c r="Z61" s="1285"/>
      <c r="AA61" s="1285"/>
      <c r="AB61" s="1285"/>
      <c r="AC61" s="1285"/>
      <c r="AD61" s="1285"/>
      <c r="AE61" s="1285"/>
      <c r="AF61" s="1285"/>
      <c r="AG61" s="1285"/>
      <c r="AH61" s="1285"/>
      <c r="AI61" s="1285"/>
      <c r="AJ61" s="1285"/>
      <c r="AK61" s="1285"/>
    </row>
    <row r="62" spans="1:42" ht="15.75" customHeight="1">
      <c r="O62" s="12"/>
      <c r="T62" s="1285"/>
      <c r="U62" s="1285"/>
      <c r="V62" s="1285"/>
      <c r="W62" s="1285"/>
      <c r="X62" s="1285"/>
      <c r="Y62" s="1285"/>
      <c r="Z62" s="1285"/>
      <c r="AA62" s="1285"/>
      <c r="AB62" s="1285"/>
      <c r="AC62" s="1285"/>
      <c r="AD62" s="1285"/>
      <c r="AE62" s="1285"/>
      <c r="AF62" s="1285"/>
      <c r="AG62" s="1285"/>
      <c r="AH62" s="1285"/>
      <c r="AI62" s="1285"/>
      <c r="AJ62" s="1285"/>
      <c r="AK62" s="1285"/>
    </row>
    <row r="63" spans="1:42" ht="14.25" customHeight="1">
      <c r="O63" s="12"/>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0">
    <dataValidation type="list" allowBlank="1" showInputMessage="1" showErrorMessage="1" errorTitle="Ошибка" error="Выберите значение из списка" prompt="Выберите значение из списка" sqref="AD39:AE39 V39:W39" xr:uid="{00000000-0002-0000-1800-000000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1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2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3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4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5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6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7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8000000}"/>
    <dataValidation type="decimal" allowBlank="1" showErrorMessage="1" errorTitle="Ошибка" error="Допускается ввод только действительных чисел!" sqref="AC48 AC8" xr:uid="{00000000-0002-0000-1800-000009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CDBCB-9B2E-5614-946D-F2135BAFB33E}">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299" hidden="1" customWidth="1"/>
    <col min="13" max="14" width="12.28515625" style="497" hidden="1" customWidth="1"/>
    <col min="15" max="15" width="23.42578125" style="497" hidden="1" customWidth="1"/>
    <col min="16" max="16" width="3.7109375" style="497" hidden="1" customWidth="1"/>
    <col min="17" max="17" width="3.7109375" style="762" hidden="1" customWidth="1"/>
    <col min="18" max="18" width="3.7109375" style="30" customWidth="1"/>
    <col min="19" max="19" width="12.7109375" style="334" customWidth="1"/>
    <col min="20" max="20" width="32" style="12" customWidth="1"/>
    <col min="21" max="21" width="0.140625" style="12" customWidth="1"/>
    <col min="22" max="25" width="21.7109375" style="12" hidden="1" customWidth="1"/>
    <col min="26" max="26" width="11.7109375" style="12" hidden="1" customWidth="1"/>
    <col min="27" max="27" width="3.7109375" style="12" hidden="1" customWidth="1"/>
    <col min="28" max="28" width="11.7109375" style="12" hidden="1" customWidth="1"/>
    <col min="29" max="29" width="8.5703125" style="12" hidden="1" customWidth="1"/>
    <col min="30" max="32" width="3.7109375" style="12" customWidth="1"/>
    <col min="33" max="33" width="24.7109375" style="12" customWidth="1"/>
    <col min="34" max="36" width="3.7109375" style="12" customWidth="1"/>
    <col min="37" max="37" width="24.7109375" style="12" customWidth="1"/>
    <col min="38" max="40" width="3.7109375" style="12" customWidth="1"/>
    <col min="41" max="41" width="18.85546875" style="12" customWidth="1"/>
    <col min="42" max="44" width="3.7109375" style="12" customWidth="1"/>
    <col min="45" max="45" width="18.85546875" style="12" customWidth="1"/>
    <col min="46" max="49" width="21.7109375" style="12" customWidth="1"/>
    <col min="50" max="50" width="11.7109375" style="12" customWidth="1"/>
    <col min="51" max="51" width="3.7109375" style="12" customWidth="1"/>
    <col min="52" max="52" width="11.7109375" style="12" customWidth="1"/>
    <col min="53" max="53" width="8.5703125" style="12" hidden="1" customWidth="1"/>
    <col min="54" max="54" width="4.7109375" style="12" customWidth="1"/>
    <col min="55" max="55" width="115.7109375" style="12" customWidth="1"/>
    <col min="56" max="57" width="10.5703125" style="68"/>
    <col min="58" max="58" width="11.140625" style="68" customWidth="1"/>
    <col min="59" max="60" width="10.5703125" style="68"/>
  </cols>
  <sheetData>
    <row r="1" spans="1:60" ht="14.25" hidden="1" customHeight="1"/>
    <row r="2" spans="1:60" ht="21" hidden="1" customHeight="1">
      <c r="A2" s="759"/>
      <c r="B2" s="759"/>
      <c r="C2" s="759"/>
      <c r="D2" s="759"/>
      <c r="E2" s="1265">
        <v>1</v>
      </c>
      <c r="F2" s="759"/>
      <c r="G2" s="759"/>
      <c r="H2" s="759"/>
      <c r="I2" s="759"/>
      <c r="J2" s="759"/>
      <c r="K2" s="759"/>
      <c r="L2" s="760"/>
      <c r="M2" s="417"/>
      <c r="N2" s="417"/>
      <c r="O2" s="417"/>
      <c r="Q2" s="62"/>
      <c r="R2" s="205"/>
      <c r="S2" s="698" t="e">
        <f>INDEX(PT_DIFFERENTIATION_NUM_NTAR,MATCH(A2,PT_DIFFERENTIATION_NTAR_ID,0))</f>
        <v>#N/A</v>
      </c>
      <c r="T2" s="67" t="s">
        <v>124</v>
      </c>
      <c r="U2" s="169"/>
      <c r="V2" s="1252"/>
      <c r="W2" s="1252"/>
      <c r="X2" s="1252"/>
      <c r="Y2" s="1252"/>
      <c r="Z2" s="1252"/>
      <c r="AA2" s="1252"/>
      <c r="AB2" s="1252"/>
      <c r="AC2" s="1253"/>
      <c r="AD2" s="1251" t="e">
        <f>INDEX(PT_DIFFERENTIATION_NTAR,MATCH(A2,PT_DIFFERENTIATION_NTAR_ID,0))</f>
        <v>#N/A</v>
      </c>
      <c r="AE2" s="1252"/>
      <c r="AF2" s="1252"/>
      <c r="AG2" s="1252"/>
      <c r="AH2" s="1252"/>
      <c r="AI2" s="1252"/>
      <c r="AJ2" s="1252"/>
      <c r="AK2" s="1252"/>
      <c r="AL2" s="1252"/>
      <c r="AM2" s="1252"/>
      <c r="AN2" s="1252"/>
      <c r="AO2" s="1252"/>
      <c r="AP2" s="1252"/>
      <c r="AQ2" s="1252"/>
      <c r="AR2" s="1252"/>
      <c r="AS2" s="1252"/>
      <c r="AT2" s="1252"/>
      <c r="AU2" s="1252"/>
      <c r="AV2" s="1252"/>
      <c r="AW2" s="1252"/>
      <c r="AX2" s="1252"/>
      <c r="AY2" s="1252"/>
      <c r="AZ2" s="1252"/>
      <c r="BA2" s="1252"/>
      <c r="BB2" s="1253"/>
      <c r="BC2"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row>
    <row r="3" spans="1:60" ht="21" hidden="1" customHeight="1">
      <c r="A3" s="759"/>
      <c r="B3" s="759"/>
      <c r="C3" s="759"/>
      <c r="D3" s="759"/>
      <c r="E3" s="1266"/>
      <c r="F3" s="1265">
        <v>1</v>
      </c>
      <c r="G3" s="759"/>
      <c r="H3" s="759"/>
      <c r="I3" s="759"/>
      <c r="J3" s="759"/>
      <c r="K3" s="759"/>
      <c r="L3" s="760"/>
      <c r="M3" s="417"/>
      <c r="N3" s="417"/>
      <c r="O3" s="417"/>
      <c r="P3" s="299"/>
      <c r="Q3" s="792"/>
      <c r="R3" s="203"/>
      <c r="S3" s="698" t="e">
        <f>INDEX(PT_DIFFERENTIATION_NUM_TER,MATCH(B3,PT_DIFFERENTIATION_TER_ID,0))</f>
        <v>#N/A</v>
      </c>
      <c r="T3" s="175" t="s">
        <v>396</v>
      </c>
      <c r="U3" s="169"/>
      <c r="V3" s="1252"/>
      <c r="W3" s="1252"/>
      <c r="X3" s="1252"/>
      <c r="Y3" s="1252"/>
      <c r="Z3" s="1252"/>
      <c r="AA3" s="1252"/>
      <c r="AB3" s="1252"/>
      <c r="AC3" s="1253"/>
      <c r="AD3" s="1251" t="e">
        <f>INDEX(PT_DIFFERENTIATION_TER,MATCH(B3,PT_DIFFERENTIATION_TER_ID,0))</f>
        <v>#N/A</v>
      </c>
      <c r="AE3" s="1252"/>
      <c r="AF3" s="1252"/>
      <c r="AG3" s="1252"/>
      <c r="AH3" s="1252"/>
      <c r="AI3" s="1252"/>
      <c r="AJ3" s="1252"/>
      <c r="AK3" s="1252"/>
      <c r="AL3" s="1252"/>
      <c r="AM3" s="1252"/>
      <c r="AN3" s="1252"/>
      <c r="AO3" s="1252"/>
      <c r="AP3" s="1252"/>
      <c r="AQ3" s="1252"/>
      <c r="AR3" s="1252"/>
      <c r="AS3" s="1252"/>
      <c r="AT3" s="1252"/>
      <c r="AU3" s="1252"/>
      <c r="AV3" s="1252"/>
      <c r="AW3" s="1252"/>
      <c r="AX3" s="1252"/>
      <c r="AY3" s="1252"/>
      <c r="AZ3" s="1252"/>
      <c r="BA3" s="1252"/>
      <c r="BB3" s="1253"/>
      <c r="BC3" s="718" t="s">
        <v>397</v>
      </c>
      <c r="BE3" s="69"/>
      <c r="BF3" s="69" t="str">
        <f t="shared" si="0"/>
        <v>Территория действия тарифа</v>
      </c>
      <c r="BG3" s="69"/>
      <c r="BH3" s="69"/>
    </row>
    <row r="4" spans="1:60" ht="42" hidden="1" customHeight="1">
      <c r="A4" s="759"/>
      <c r="B4" s="759"/>
      <c r="C4" s="759"/>
      <c r="D4" s="759"/>
      <c r="E4" s="1266"/>
      <c r="F4" s="1266"/>
      <c r="G4" s="1265">
        <v>1</v>
      </c>
      <c r="H4" s="759"/>
      <c r="I4" s="759"/>
      <c r="J4" s="759"/>
      <c r="K4" s="759"/>
      <c r="L4" s="760"/>
      <c r="M4" s="417"/>
      <c r="N4" s="417"/>
      <c r="O4" s="417"/>
      <c r="P4" s="129"/>
      <c r="Q4" s="792"/>
      <c r="R4" s="203"/>
      <c r="S4" s="698" t="e">
        <f>INDEX(PT_DIFFERENTIATION_NUM_CS,MATCH(C4,PT_DIFFERENTIATION_CS_ID,0))</f>
        <v>#N/A</v>
      </c>
      <c r="T4" s="176" t="s">
        <v>480</v>
      </c>
      <c r="U4" s="169"/>
      <c r="V4" s="1252"/>
      <c r="W4" s="1252"/>
      <c r="X4" s="1252"/>
      <c r="Y4" s="1252"/>
      <c r="Z4" s="1252"/>
      <c r="AA4" s="1252"/>
      <c r="AB4" s="1252"/>
      <c r="AC4" s="1253"/>
      <c r="AD4" s="1251" t="e">
        <f>INDEX(PT_DIFFERENTIATION_CS,MATCH(C4,PT_DIFFERENTIATION_CS_ID,0))</f>
        <v>#N/A</v>
      </c>
      <c r="AE4" s="1252"/>
      <c r="AF4" s="1252"/>
      <c r="AG4" s="1252"/>
      <c r="AH4" s="1252"/>
      <c r="AI4" s="1252"/>
      <c r="AJ4" s="1252"/>
      <c r="AK4" s="1252"/>
      <c r="AL4" s="1252"/>
      <c r="AM4" s="1252"/>
      <c r="AN4" s="1252"/>
      <c r="AO4" s="1252"/>
      <c r="AP4" s="1252"/>
      <c r="AQ4" s="1252"/>
      <c r="AR4" s="1252"/>
      <c r="AS4" s="1252"/>
      <c r="AT4" s="1252"/>
      <c r="AU4" s="1252"/>
      <c r="AV4" s="1252"/>
      <c r="AW4" s="1252"/>
      <c r="AX4" s="1252"/>
      <c r="AY4" s="1252"/>
      <c r="AZ4" s="1252"/>
      <c r="BA4" s="1252"/>
      <c r="BB4" s="1253"/>
      <c r="BC4" s="718" t="s">
        <v>481</v>
      </c>
      <c r="BE4" s="69"/>
      <c r="BF4" s="69" t="str">
        <f t="shared" si="0"/>
        <v>Наименование централизованной системы холодного водоснабжения</v>
      </c>
      <c r="BG4" s="69"/>
      <c r="BH4" s="69"/>
    </row>
    <row r="5" spans="1:60" s="68" customFormat="1" ht="14.25" hidden="1" customHeight="1">
      <c r="A5" s="143"/>
      <c r="B5" s="143"/>
      <c r="C5" s="143"/>
      <c r="D5" s="143"/>
      <c r="E5" s="1266"/>
      <c r="F5" s="1266"/>
      <c r="G5" s="1266"/>
      <c r="H5" s="1265">
        <v>1</v>
      </c>
      <c r="I5" s="143"/>
      <c r="J5" s="143"/>
      <c r="K5" s="143"/>
      <c r="L5" s="338"/>
      <c r="M5" s="291"/>
      <c r="N5" s="291"/>
      <c r="O5" s="291"/>
      <c r="P5" s="810"/>
      <c r="Q5" s="811"/>
      <c r="R5" s="207"/>
      <c r="S5" s="353"/>
      <c r="T5" s="812"/>
      <c r="U5" s="770"/>
      <c r="V5" s="1295"/>
      <c r="W5" s="1295"/>
      <c r="X5" s="1295"/>
      <c r="Y5" s="1295"/>
      <c r="Z5" s="1295"/>
      <c r="AA5" s="1295"/>
      <c r="AB5" s="1295"/>
      <c r="AC5" s="1296"/>
      <c r="AD5" s="1294"/>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6"/>
      <c r="BC5" s="771" t="s">
        <v>401</v>
      </c>
      <c r="BE5" s="69"/>
      <c r="BF5" s="69" t="str">
        <f t="shared" si="0"/>
        <v/>
      </c>
      <c r="BG5" s="69"/>
      <c r="BH5" s="69"/>
    </row>
    <row r="6" spans="1:60" s="68" customFormat="1" ht="14.25" hidden="1" customHeight="1">
      <c r="A6" s="143"/>
      <c r="B6" s="143"/>
      <c r="C6" s="143"/>
      <c r="D6" s="143"/>
      <c r="E6" s="1266"/>
      <c r="F6" s="1266"/>
      <c r="G6" s="1266"/>
      <c r="H6" s="1266"/>
      <c r="I6" s="1263" t="str">
        <f>S5&amp;".1"</f>
        <v>.1</v>
      </c>
      <c r="J6" s="143"/>
      <c r="K6" s="143"/>
      <c r="L6" s="338" t="s">
        <v>402</v>
      </c>
      <c r="M6" s="288"/>
      <c r="N6" s="288"/>
      <c r="O6" s="288"/>
      <c r="P6" s="1264">
        <v>1</v>
      </c>
      <c r="Q6" s="120"/>
      <c r="R6" s="206"/>
      <c r="S6" s="353"/>
      <c r="T6" s="769"/>
      <c r="U6" s="770"/>
      <c r="V6" s="1295"/>
      <c r="W6" s="1295"/>
      <c r="X6" s="1295"/>
      <c r="Y6" s="1295"/>
      <c r="Z6" s="1295"/>
      <c r="AA6" s="1295"/>
      <c r="AB6" s="1295"/>
      <c r="AC6" s="1296"/>
      <c r="AD6" s="1294"/>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6"/>
      <c r="BC6" s="771"/>
      <c r="BE6" s="69"/>
      <c r="BF6" s="69" t="str">
        <f t="shared" si="0"/>
        <v/>
      </c>
      <c r="BG6" s="69"/>
      <c r="BH6" s="69"/>
    </row>
    <row r="7" spans="1:60" s="68" customFormat="1" ht="14.25" hidden="1" customHeight="1">
      <c r="A7" s="143"/>
      <c r="B7" s="143"/>
      <c r="C7" s="143"/>
      <c r="D7" s="143"/>
      <c r="E7" s="1266"/>
      <c r="F7" s="1266"/>
      <c r="G7" s="1266"/>
      <c r="H7" s="1266"/>
      <c r="I7" s="1286"/>
      <c r="J7" s="1263" t="str">
        <f>S5&amp;".1"</f>
        <v>.1</v>
      </c>
      <c r="K7" s="143"/>
      <c r="L7" s="338"/>
      <c r="M7" s="288"/>
      <c r="N7" s="288"/>
      <c r="O7" s="288"/>
      <c r="P7" s="1264"/>
      <c r="Q7" s="1264">
        <v>1</v>
      </c>
      <c r="R7" s="207"/>
      <c r="S7" s="353"/>
      <c r="T7" s="784"/>
      <c r="U7" s="770"/>
      <c r="V7" s="1295"/>
      <c r="W7" s="1295"/>
      <c r="X7" s="1295"/>
      <c r="Y7" s="1295"/>
      <c r="Z7" s="1295"/>
      <c r="AA7" s="1295"/>
      <c r="AB7" s="1295"/>
      <c r="AC7" s="1296"/>
      <c r="AD7" s="1294"/>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6"/>
      <c r="BC7" s="771"/>
      <c r="BE7" s="69"/>
      <c r="BF7" s="69" t="str">
        <f t="shared" si="0"/>
        <v/>
      </c>
      <c r="BG7" s="69"/>
      <c r="BH7" s="69"/>
    </row>
    <row r="8" spans="1:60" ht="11.25" hidden="1" customHeight="1">
      <c r="A8" s="759"/>
      <c r="B8" s="759"/>
      <c r="C8" s="759"/>
      <c r="D8" s="759"/>
      <c r="E8" s="1266"/>
      <c r="F8" s="1266"/>
      <c r="G8" s="1266"/>
      <c r="H8" s="1266"/>
      <c r="I8" s="1286"/>
      <c r="J8" s="1286"/>
      <c r="K8" s="1263" t="e">
        <f>S4&amp;".1"</f>
        <v>#N/A</v>
      </c>
      <c r="L8" s="760"/>
      <c r="P8" s="1264"/>
      <c r="Q8" s="1264"/>
      <c r="R8" s="1328">
        <v>1</v>
      </c>
      <c r="S8" s="1322" t="e">
        <f>$K8</f>
        <v>#N/A</v>
      </c>
      <c r="T8" s="1341"/>
      <c r="U8" s="169"/>
      <c r="V8" s="304"/>
      <c r="W8" s="717"/>
      <c r="X8" s="304"/>
      <c r="Y8" s="717"/>
      <c r="Z8" s="933"/>
      <c r="AA8" s="295" t="s">
        <v>62</v>
      </c>
      <c r="AB8" s="933"/>
      <c r="AC8" s="295" t="s">
        <v>62</v>
      </c>
      <c r="AD8" s="1203" t="s">
        <v>62</v>
      </c>
      <c r="AE8" s="1308"/>
      <c r="AF8" s="1220">
        <v>1</v>
      </c>
      <c r="AG8" s="1345"/>
      <c r="AH8" s="1127" t="s">
        <v>62</v>
      </c>
      <c r="AI8" s="1308"/>
      <c r="AJ8" s="1220">
        <v>1</v>
      </c>
      <c r="AK8" s="1344" t="s">
        <v>18</v>
      </c>
      <c r="AL8" s="1127" t="s">
        <v>62</v>
      </c>
      <c r="AM8" s="1210"/>
      <c r="AN8" s="1220">
        <v>1</v>
      </c>
      <c r="AO8" s="1338"/>
      <c r="AP8" s="1339" t="s">
        <v>62</v>
      </c>
      <c r="AQ8" s="178"/>
      <c r="AR8" s="266">
        <v>1</v>
      </c>
      <c r="AS8" s="117" t="s">
        <v>18</v>
      </c>
      <c r="AT8" s="304"/>
      <c r="AU8" s="717"/>
      <c r="AV8" s="304"/>
      <c r="AW8" s="717"/>
      <c r="AX8" s="933"/>
      <c r="AY8" s="295" t="s">
        <v>62</v>
      </c>
      <c r="AZ8" s="933"/>
      <c r="BA8" s="295" t="s">
        <v>62</v>
      </c>
      <c r="BB8" s="756"/>
      <c r="BC8" s="1260" t="s">
        <v>500</v>
      </c>
      <c r="BE8" s="69"/>
      <c r="BF8" s="69" t="str">
        <f t="shared" si="0"/>
        <v/>
      </c>
      <c r="BG8" s="69"/>
      <c r="BH8" s="69"/>
    </row>
    <row r="9" spans="1:60" ht="11.25" hidden="1" customHeight="1">
      <c r="A9" s="759"/>
      <c r="B9" s="759"/>
      <c r="C9" s="759"/>
      <c r="D9" s="759"/>
      <c r="E9" s="1266"/>
      <c r="F9" s="1266"/>
      <c r="G9" s="1266"/>
      <c r="H9" s="1266"/>
      <c r="I9" s="1286"/>
      <c r="J9" s="1286"/>
      <c r="K9" s="1263"/>
      <c r="L9" s="760"/>
      <c r="P9" s="1264"/>
      <c r="Q9" s="1264"/>
      <c r="R9" s="1328"/>
      <c r="S9" s="1323"/>
      <c r="T9" s="1342"/>
      <c r="U9" s="169"/>
      <c r="V9" s="779"/>
      <c r="W9" s="809"/>
      <c r="X9" s="779"/>
      <c r="Y9" s="809"/>
      <c r="Z9" s="779"/>
      <c r="AA9" s="779"/>
      <c r="AB9" s="779"/>
      <c r="AC9" s="779"/>
      <c r="AD9" s="1204"/>
      <c r="AE9" s="1308"/>
      <c r="AF9" s="1220"/>
      <c r="AG9" s="1345"/>
      <c r="AH9" s="1127"/>
      <c r="AI9" s="1308"/>
      <c r="AJ9" s="1220"/>
      <c r="AK9" s="1344"/>
      <c r="AL9" s="1127"/>
      <c r="AM9" s="1215"/>
      <c r="AN9" s="1220"/>
      <c r="AO9" s="1338"/>
      <c r="AP9" s="1340"/>
      <c r="AQ9" s="182"/>
      <c r="AR9" s="53"/>
      <c r="AS9" s="53" t="s">
        <v>501</v>
      </c>
      <c r="AT9" s="779"/>
      <c r="AU9" s="809"/>
      <c r="AV9" s="779"/>
      <c r="AW9" s="809"/>
      <c r="AX9" s="779"/>
      <c r="AY9" s="779"/>
      <c r="AZ9" s="779"/>
      <c r="BA9" s="779"/>
      <c r="BB9" s="783"/>
      <c r="BC9" s="1261"/>
      <c r="BE9" s="69"/>
      <c r="BF9" s="69"/>
      <c r="BG9" s="69"/>
      <c r="BH9" s="69"/>
    </row>
    <row r="10" spans="1:60" ht="11.25" hidden="1" customHeight="1">
      <c r="A10" s="759"/>
      <c r="B10" s="759"/>
      <c r="C10" s="759"/>
      <c r="D10" s="759"/>
      <c r="E10" s="1266"/>
      <c r="F10" s="1266"/>
      <c r="G10" s="1266"/>
      <c r="H10" s="1266"/>
      <c r="I10" s="1286"/>
      <c r="J10" s="1286"/>
      <c r="K10" s="1263"/>
      <c r="L10" s="760"/>
      <c r="P10" s="1264"/>
      <c r="Q10" s="1264"/>
      <c r="R10" s="1328"/>
      <c r="S10" s="1323"/>
      <c r="T10" s="1342"/>
      <c r="U10" s="169"/>
      <c r="V10" s="779"/>
      <c r="W10" s="809"/>
      <c r="X10" s="779"/>
      <c r="Y10" s="809"/>
      <c r="Z10" s="779"/>
      <c r="AA10" s="779"/>
      <c r="AB10" s="779"/>
      <c r="AC10" s="779"/>
      <c r="AD10" s="1204"/>
      <c r="AE10" s="1308"/>
      <c r="AF10" s="1220"/>
      <c r="AG10" s="1345"/>
      <c r="AH10" s="1127"/>
      <c r="AI10" s="1308"/>
      <c r="AJ10" s="1220"/>
      <c r="AK10" s="1344"/>
      <c r="AL10" s="1127"/>
      <c r="AM10" s="182"/>
      <c r="AN10" s="813"/>
      <c r="AO10" s="813" t="s">
        <v>502</v>
      </c>
      <c r="AP10" s="53"/>
      <c r="AQ10" s="53"/>
      <c r="AR10" s="53"/>
      <c r="AS10" s="779"/>
      <c r="AT10" s="779"/>
      <c r="AU10" s="809"/>
      <c r="AV10" s="779"/>
      <c r="AW10" s="809"/>
      <c r="AX10" s="779"/>
      <c r="AY10" s="779"/>
      <c r="AZ10" s="779"/>
      <c r="BA10" s="779"/>
      <c r="BB10" s="783"/>
      <c r="BC10" s="1261"/>
      <c r="BE10" s="69"/>
      <c r="BF10" s="69"/>
      <c r="BG10" s="69"/>
      <c r="BH10" s="69"/>
    </row>
    <row r="11" spans="1:60" ht="11.25" hidden="1" customHeight="1">
      <c r="A11" s="759"/>
      <c r="B11" s="759"/>
      <c r="C11" s="759"/>
      <c r="D11" s="759"/>
      <c r="E11" s="1266"/>
      <c r="F11" s="1266"/>
      <c r="G11" s="1266"/>
      <c r="H11" s="1266"/>
      <c r="I11" s="1286"/>
      <c r="J11" s="1286"/>
      <c r="K11" s="1263"/>
      <c r="L11" s="760"/>
      <c r="P11" s="1264"/>
      <c r="Q11" s="1264"/>
      <c r="R11" s="1328"/>
      <c r="S11" s="1323"/>
      <c r="T11" s="1342"/>
      <c r="U11" s="169"/>
      <c r="V11" s="779"/>
      <c r="W11" s="809"/>
      <c r="X11" s="779"/>
      <c r="Y11" s="809"/>
      <c r="Z11" s="779"/>
      <c r="AA11" s="779"/>
      <c r="AB11" s="779"/>
      <c r="AC11" s="779"/>
      <c r="AD11" s="1204"/>
      <c r="AE11" s="1308"/>
      <c r="AF11" s="1220"/>
      <c r="AG11" s="1345"/>
      <c r="AH11" s="1127"/>
      <c r="AI11" s="167"/>
      <c r="AJ11" s="108"/>
      <c r="AK11" s="180" t="s">
        <v>503</v>
      </c>
      <c r="AL11" s="779"/>
      <c r="AM11" s="779"/>
      <c r="AN11" s="779"/>
      <c r="AO11" s="779"/>
      <c r="AP11" s="779"/>
      <c r="AQ11" s="779"/>
      <c r="AR11" s="779"/>
      <c r="AS11" s="779"/>
      <c r="AT11" s="779"/>
      <c r="AU11" s="809"/>
      <c r="AV11" s="779"/>
      <c r="AW11" s="809"/>
      <c r="AX11" s="779"/>
      <c r="AY11" s="779"/>
      <c r="AZ11" s="779"/>
      <c r="BA11" s="779"/>
      <c r="BB11" s="783"/>
      <c r="BC11" s="1261"/>
      <c r="BE11" s="69"/>
      <c r="BF11" s="69"/>
      <c r="BG11" s="69"/>
      <c r="BH11" s="69"/>
    </row>
    <row r="12" spans="1:60" ht="11.25" hidden="1" customHeight="1">
      <c r="A12" s="759"/>
      <c r="B12" s="759"/>
      <c r="C12" s="759"/>
      <c r="D12" s="759"/>
      <c r="E12" s="1266"/>
      <c r="F12" s="1266"/>
      <c r="G12" s="1266"/>
      <c r="H12" s="1266"/>
      <c r="I12" s="1286"/>
      <c r="J12" s="1286"/>
      <c r="K12" s="1263"/>
      <c r="L12" s="760"/>
      <c r="P12" s="1264"/>
      <c r="Q12" s="1264"/>
      <c r="R12" s="1328"/>
      <c r="S12" s="1324"/>
      <c r="T12" s="1343"/>
      <c r="U12" s="169"/>
      <c r="V12" s="779"/>
      <c r="W12" s="780" t="str">
        <f>Z8&amp;"-"&amp;AB8</f>
        <v>-</v>
      </c>
      <c r="X12" s="779"/>
      <c r="Y12" s="780" t="str">
        <f>AB8&amp;"-"&amp;AD8</f>
        <v>-да</v>
      </c>
      <c r="Z12" s="779"/>
      <c r="AA12" s="779"/>
      <c r="AB12" s="779"/>
      <c r="AC12" s="779"/>
      <c r="AD12" s="1132"/>
      <c r="AE12" s="179"/>
      <c r="AF12" s="181"/>
      <c r="AG12" s="53" t="s">
        <v>504</v>
      </c>
      <c r="AH12" s="779"/>
      <c r="AI12" s="779"/>
      <c r="AJ12" s="779"/>
      <c r="AK12" s="779"/>
      <c r="AL12" s="779"/>
      <c r="AM12" s="779"/>
      <c r="AN12" s="779"/>
      <c r="AO12" s="779"/>
      <c r="AP12" s="779"/>
      <c r="AQ12" s="779"/>
      <c r="AR12" s="779"/>
      <c r="AS12" s="779"/>
      <c r="AT12" s="779"/>
      <c r="AU12" s="780" t="str">
        <f>AX8&amp;"-"&amp;AZ8</f>
        <v>-</v>
      </c>
      <c r="AV12" s="779"/>
      <c r="AW12" s="780" t="str">
        <f>AZ8&amp;"-"&amp;BB8</f>
        <v>-</v>
      </c>
      <c r="AX12" s="779"/>
      <c r="AY12" s="779"/>
      <c r="AZ12" s="779"/>
      <c r="BA12" s="779"/>
      <c r="BB12" s="782" t="str">
        <f>BE8&amp;"-"&amp;BG8</f>
        <v>-</v>
      </c>
      <c r="BC12" s="1261"/>
      <c r="BE12" s="69"/>
      <c r="BF12" s="69" t="str">
        <f t="shared" ref="BF12:BF18" si="1">IF(T12="","",T12)</f>
        <v/>
      </c>
      <c r="BG12" s="69"/>
      <c r="BH12" s="69"/>
    </row>
    <row r="13" spans="1:60" ht="11.25" hidden="1" customHeight="1">
      <c r="A13" s="759"/>
      <c r="B13" s="759"/>
      <c r="C13" s="759"/>
      <c r="D13" s="759"/>
      <c r="E13" s="1266"/>
      <c r="F13" s="1266"/>
      <c r="G13" s="1266"/>
      <c r="H13" s="1266"/>
      <c r="I13" s="1286"/>
      <c r="J13" s="1263"/>
      <c r="K13" s="759"/>
      <c r="L13" s="760"/>
      <c r="P13" s="1264"/>
      <c r="Q13" s="1264"/>
      <c r="R13" s="206"/>
      <c r="S13" s="732"/>
      <c r="T13" s="164" t="s">
        <v>467</v>
      </c>
      <c r="U13" s="211"/>
      <c r="V13" s="211"/>
      <c r="W13" s="211"/>
      <c r="X13" s="211"/>
      <c r="Y13" s="211"/>
      <c r="Z13" s="211"/>
      <c r="AA13" s="211"/>
      <c r="AB13" s="211"/>
      <c r="AC13" s="211"/>
      <c r="AD13" s="817"/>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188"/>
      <c r="BC13" s="1262"/>
      <c r="BE13" s="69"/>
      <c r="BF13" s="69" t="str">
        <f t="shared" si="1"/>
        <v>Добавить строку</v>
      </c>
      <c r="BG13" s="69"/>
      <c r="BH13" s="69"/>
    </row>
    <row r="14" spans="1:60" s="68" customFormat="1" ht="14.25" hidden="1" customHeight="1">
      <c r="A14" s="143"/>
      <c r="B14" s="143"/>
      <c r="C14" s="143"/>
      <c r="D14" s="143"/>
      <c r="E14" s="1266"/>
      <c r="F14" s="1266"/>
      <c r="G14" s="1266"/>
      <c r="H14" s="1266"/>
      <c r="I14" s="1263"/>
      <c r="J14" s="143"/>
      <c r="K14" s="143"/>
      <c r="L14" s="338"/>
      <c r="M14" s="288"/>
      <c r="N14" s="288"/>
      <c r="O14" s="288"/>
      <c r="P14" s="1264"/>
      <c r="Q14" s="120"/>
      <c r="R14" s="206"/>
      <c r="S14" s="772"/>
      <c r="T14" s="773"/>
      <c r="U14" s="774"/>
      <c r="V14" s="774"/>
      <c r="W14" s="774"/>
      <c r="X14" s="774"/>
      <c r="Y14" s="774"/>
      <c r="Z14" s="774"/>
      <c r="AA14" s="774"/>
      <c r="AB14" s="774"/>
      <c r="AC14" s="774"/>
      <c r="AD14" s="774"/>
      <c r="AE14" s="774"/>
      <c r="AF14" s="774"/>
      <c r="AG14" s="774"/>
      <c r="AH14" s="774"/>
      <c r="AI14" s="774"/>
      <c r="AJ14" s="774"/>
      <c r="AK14" s="774"/>
      <c r="AL14" s="774"/>
      <c r="AM14" s="774"/>
      <c r="AN14" s="774"/>
      <c r="AO14" s="774"/>
      <c r="AP14" s="774"/>
      <c r="AQ14" s="774"/>
      <c r="AR14" s="774"/>
      <c r="AS14" s="774"/>
      <c r="AT14" s="774"/>
      <c r="AU14" s="774"/>
      <c r="AV14" s="774"/>
      <c r="AW14" s="774"/>
      <c r="AX14" s="774"/>
      <c r="AY14" s="774"/>
      <c r="AZ14" s="774"/>
      <c r="BA14" s="774"/>
      <c r="BB14" s="774"/>
      <c r="BC14" s="775"/>
      <c r="BE14" s="69"/>
      <c r="BF14" s="69" t="str">
        <f t="shared" si="1"/>
        <v/>
      </c>
      <c r="BG14" s="69"/>
      <c r="BH14" s="69"/>
    </row>
    <row r="15" spans="1:60" s="68" customFormat="1" ht="14.25" hidden="1" customHeight="1">
      <c r="A15" s="143"/>
      <c r="B15" s="143"/>
      <c r="C15" s="143"/>
      <c r="D15" s="143"/>
      <c r="E15" s="1266"/>
      <c r="F15" s="1266"/>
      <c r="G15" s="1266"/>
      <c r="H15" s="1265"/>
      <c r="I15" s="143"/>
      <c r="J15" s="143"/>
      <c r="K15" s="143"/>
      <c r="L15" s="338"/>
      <c r="M15" s="291"/>
      <c r="N15" s="291"/>
      <c r="P15" s="102"/>
      <c r="Q15" s="745"/>
      <c r="R15" s="786"/>
      <c r="S15" s="772"/>
      <c r="T15" s="773"/>
      <c r="U15" s="774"/>
      <c r="V15" s="774"/>
      <c r="W15" s="774"/>
      <c r="X15" s="774"/>
      <c r="Y15" s="774"/>
      <c r="Z15" s="774"/>
      <c r="AA15" s="774"/>
      <c r="AB15" s="774"/>
      <c r="AC15" s="774"/>
      <c r="AD15" s="774"/>
      <c r="AE15" s="774"/>
      <c r="AF15" s="774"/>
      <c r="AG15" s="774"/>
      <c r="AH15" s="774"/>
      <c r="AI15" s="774"/>
      <c r="AJ15" s="774"/>
      <c r="AK15" s="774"/>
      <c r="AL15" s="774"/>
      <c r="AM15" s="774"/>
      <c r="AN15" s="774"/>
      <c r="AO15" s="774"/>
      <c r="AP15" s="774"/>
      <c r="AQ15" s="774"/>
      <c r="AR15" s="774"/>
      <c r="AS15" s="774"/>
      <c r="AT15" s="774"/>
      <c r="AU15" s="774"/>
      <c r="AV15" s="774"/>
      <c r="AW15" s="774"/>
      <c r="AX15" s="774"/>
      <c r="AY15" s="774"/>
      <c r="AZ15" s="774"/>
      <c r="BA15" s="774"/>
      <c r="BB15" s="774"/>
      <c r="BC15" s="775"/>
      <c r="BE15" s="69"/>
      <c r="BF15" s="69" t="str">
        <f t="shared" si="1"/>
        <v/>
      </c>
      <c r="BG15" s="69"/>
      <c r="BH15" s="69"/>
    </row>
    <row r="16" spans="1:60" s="68" customFormat="1" ht="14.25" hidden="1" customHeight="1">
      <c r="A16" s="143"/>
      <c r="B16" s="143"/>
      <c r="C16" s="143"/>
      <c r="D16" s="143"/>
      <c r="E16" s="1266"/>
      <c r="F16" s="1266"/>
      <c r="G16" s="1265"/>
      <c r="H16" s="143"/>
      <c r="I16" s="143"/>
      <c r="J16" s="143"/>
      <c r="K16" s="143"/>
      <c r="L16" s="338"/>
      <c r="M16" s="291"/>
      <c r="N16" s="291"/>
      <c r="P16" s="102"/>
      <c r="Q16" s="745"/>
      <c r="R16" s="102"/>
      <c r="S16" s="750"/>
      <c r="T16" s="752"/>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E16" s="69"/>
      <c r="BF16" s="69" t="str">
        <f t="shared" si="1"/>
        <v/>
      </c>
      <c r="BG16" s="69"/>
      <c r="BH16" s="69"/>
    </row>
    <row r="17" spans="1:60" s="68" customFormat="1" ht="14.25" hidden="1" customHeight="1">
      <c r="A17" s="143"/>
      <c r="B17" s="143"/>
      <c r="C17" s="143"/>
      <c r="D17" s="143"/>
      <c r="E17" s="1266"/>
      <c r="F17" s="1265"/>
      <c r="G17" s="143"/>
      <c r="H17" s="143"/>
      <c r="I17" s="143"/>
      <c r="J17" s="143"/>
      <c r="K17" s="143"/>
      <c r="L17" s="338"/>
      <c r="M17" s="749"/>
      <c r="N17" s="749"/>
      <c r="P17" s="102"/>
      <c r="Q17" s="745"/>
      <c r="R17" s="102"/>
      <c r="S17" s="750"/>
      <c r="T17" s="752" t="s">
        <v>414</v>
      </c>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E17" s="69"/>
      <c r="BF17" s="69" t="str">
        <f t="shared" si="1"/>
        <v>Добавить централизованную систему для дифференциации</v>
      </c>
      <c r="BG17" s="69"/>
      <c r="BH17" s="69"/>
    </row>
    <row r="18" spans="1:60" s="68" customFormat="1" ht="14.25" hidden="1" customHeight="1">
      <c r="A18" s="143"/>
      <c r="B18" s="143"/>
      <c r="C18" s="143"/>
      <c r="D18" s="143"/>
      <c r="E18" s="1265"/>
      <c r="F18" s="143"/>
      <c r="G18" s="143"/>
      <c r="H18" s="143"/>
      <c r="I18" s="143"/>
      <c r="J18" s="143"/>
      <c r="K18" s="143"/>
      <c r="L18" s="338"/>
      <c r="M18" s="749"/>
      <c r="N18" s="749"/>
      <c r="P18" s="102"/>
      <c r="Q18" s="745"/>
      <c r="R18" s="102"/>
      <c r="S18" s="750"/>
      <c r="T18" s="752" t="s">
        <v>415</v>
      </c>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E18" s="69"/>
      <c r="BF18" s="69" t="str">
        <f t="shared" si="1"/>
        <v>Добавить территорию для дифференциации</v>
      </c>
      <c r="BG18" s="69"/>
      <c r="BH18" s="69"/>
    </row>
    <row r="19" spans="1:60" ht="14.25" hidden="1" customHeight="1"/>
    <row r="20" spans="1:60" ht="14.25" hidden="1" customHeight="1">
      <c r="AD20" s="311" t="s">
        <v>52</v>
      </c>
      <c r="AE20" s="814"/>
      <c r="AF20" s="311">
        <v>1</v>
      </c>
      <c r="AG20" s="815"/>
      <c r="AH20" s="311" t="s">
        <v>52</v>
      </c>
      <c r="AI20" s="814"/>
      <c r="AJ20" s="311">
        <v>1</v>
      </c>
      <c r="AK20" s="815"/>
      <c r="AL20" s="311" t="s">
        <v>52</v>
      </c>
      <c r="AM20" s="816"/>
      <c r="AN20" s="311">
        <v>1</v>
      </c>
      <c r="AO20" s="125"/>
      <c r="AP20" s="311" t="s">
        <v>52</v>
      </c>
      <c r="AQ20" s="816"/>
      <c r="AR20" s="311">
        <v>1</v>
      </c>
      <c r="AS20" s="125"/>
      <c r="AT20" s="189"/>
      <c r="AU20" s="217"/>
      <c r="AV20" s="189"/>
      <c r="AW20" s="217"/>
      <c r="AX20" s="935"/>
      <c r="AY20" s="806" t="s">
        <v>62</v>
      </c>
      <c r="AZ20" s="935"/>
      <c r="BA20" s="806" t="s">
        <v>62</v>
      </c>
    </row>
    <row r="21" spans="1:60" ht="14.25" hidden="1" customHeight="1">
      <c r="BD21" s="201"/>
      <c r="BE21" s="201"/>
      <c r="BF21" s="201"/>
      <c r="BG21" s="201"/>
      <c r="BH21" s="201"/>
    </row>
    <row r="22" spans="1:60" ht="14.25" hidden="1" customHeight="1">
      <c r="O22" s="761" t="s">
        <v>416</v>
      </c>
      <c r="Z22" s="754"/>
      <c r="AB22" s="754"/>
      <c r="AX22" s="754"/>
      <c r="AZ22" s="754"/>
      <c r="BD22" s="201"/>
      <c r="BE22" s="201"/>
      <c r="BF22" s="201"/>
      <c r="BG22" s="201"/>
      <c r="BH22" s="201"/>
    </row>
    <row r="23" spans="1:60" ht="14.25" hidden="1" customHeight="1">
      <c r="BD23" s="201"/>
      <c r="BE23" s="201"/>
      <c r="BF23" s="201"/>
      <c r="BG23" s="201"/>
      <c r="BH23" s="201"/>
    </row>
    <row r="24" spans="1:60" s="819" customFormat="1" ht="14.25" hidden="1" customHeight="1">
      <c r="M24" s="820"/>
      <c r="N24" s="820"/>
      <c r="O24" s="819" t="s">
        <v>417</v>
      </c>
      <c r="P24" s="820"/>
      <c r="Q24" s="821"/>
      <c r="R24" s="821"/>
      <c r="AA24" s="819" t="s">
        <v>419</v>
      </c>
      <c r="AC24" s="819" t="s">
        <v>420</v>
      </c>
      <c r="AD24" s="819" t="s">
        <v>468</v>
      </c>
      <c r="AH24" s="819" t="s">
        <v>468</v>
      </c>
      <c r="AK24" s="819" t="s">
        <v>505</v>
      </c>
      <c r="AL24" s="819" t="s">
        <v>468</v>
      </c>
      <c r="AP24" s="819" t="s">
        <v>468</v>
      </c>
      <c r="AY24" s="819" t="s">
        <v>419</v>
      </c>
      <c r="BA24" s="819" t="s">
        <v>420</v>
      </c>
      <c r="BD24" s="822"/>
      <c r="BE24" s="822"/>
      <c r="BF24" s="822"/>
      <c r="BG24" s="822"/>
      <c r="BH24" s="822"/>
    </row>
    <row r="25" spans="1:60" ht="14.25" hidden="1" customHeight="1">
      <c r="O25" s="760"/>
      <c r="BD25" s="201"/>
      <c r="BE25" s="201"/>
      <c r="BF25" s="201"/>
      <c r="BG25" s="201"/>
      <c r="BH25" s="201"/>
    </row>
    <row r="26" spans="1:60" ht="14.25" hidden="1" customHeight="1">
      <c r="O26" s="760"/>
      <c r="BD26" s="201"/>
      <c r="BE26" s="201"/>
      <c r="BF26" s="201"/>
      <c r="BG26" s="201"/>
      <c r="BH26" s="201"/>
    </row>
    <row r="27" spans="1:60" ht="14.25" customHeight="1">
      <c r="Q27" s="166"/>
      <c r="R27" s="29"/>
      <c r="S27" s="729"/>
      <c r="T27" s="11"/>
      <c r="U27" s="11"/>
    </row>
    <row r="28" spans="1:60" ht="14.25" customHeight="1">
      <c r="Q28" s="166"/>
      <c r="R28" s="29"/>
      <c r="S28" s="1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49"/>
      <c r="U28" s="1249"/>
      <c r="V28" s="1249"/>
      <c r="W28" s="1249"/>
      <c r="X28" s="1249"/>
      <c r="Y28" s="1249"/>
      <c r="Z28" s="1249"/>
      <c r="AA28" s="1249"/>
      <c r="AB28" s="1249"/>
      <c r="AC28" s="1249"/>
      <c r="AD28" s="1249"/>
      <c r="AE28" s="1249"/>
      <c r="AF28" s="1249"/>
      <c r="AG28" s="1249"/>
      <c r="AH28" s="1249"/>
      <c r="AI28" s="1249"/>
      <c r="AJ28" s="1249"/>
      <c r="AK28" s="1249"/>
      <c r="AL28" s="1249"/>
      <c r="AM28" s="1249"/>
      <c r="AN28" s="1249"/>
      <c r="AO28" s="1249"/>
      <c r="AP28" s="1249"/>
      <c r="AQ28" s="1249"/>
      <c r="AR28" s="1249"/>
      <c r="AS28" s="1249"/>
      <c r="AT28" s="1249"/>
      <c r="AU28" s="1249"/>
      <c r="AV28" s="1249"/>
      <c r="AW28" s="1249"/>
      <c r="AX28" s="1249"/>
      <c r="AY28" s="1249"/>
      <c r="AZ28" s="1249"/>
      <c r="BA28" s="60"/>
    </row>
    <row r="29" spans="1:60" ht="14.25" customHeight="1">
      <c r="Q29" s="166"/>
      <c r="R29" s="29"/>
      <c r="S29" s="1194" t="str">
        <f>IF(org=0,"Не определено",org)</f>
        <v>АО "ХТК"</v>
      </c>
      <c r="T29" s="1194"/>
      <c r="U29" s="1194"/>
      <c r="V29" s="1194"/>
      <c r="W29" s="1194"/>
      <c r="X29" s="1194"/>
      <c r="Y29" s="1194"/>
      <c r="Z29" s="1194"/>
      <c r="AA29" s="1194"/>
      <c r="AB29" s="1194"/>
      <c r="AC29" s="1194"/>
      <c r="AD29" s="1194"/>
      <c r="AE29" s="1194"/>
      <c r="AF29" s="1194"/>
      <c r="AG29" s="1194"/>
      <c r="AH29" s="1194"/>
      <c r="AI29" s="1194"/>
      <c r="AJ29" s="1194"/>
      <c r="AK29" s="1194"/>
      <c r="AL29" s="1194"/>
      <c r="AM29" s="1194"/>
      <c r="AN29" s="1194"/>
      <c r="AO29" s="1194"/>
      <c r="AP29" s="1194"/>
      <c r="AQ29" s="1194"/>
      <c r="AR29" s="1194"/>
      <c r="AS29" s="1194"/>
      <c r="AT29" s="1194"/>
      <c r="AU29" s="1194"/>
      <c r="AV29" s="1194"/>
      <c r="AW29" s="1194"/>
      <c r="AX29" s="1194"/>
      <c r="AY29" s="1194"/>
      <c r="AZ29" s="1194"/>
      <c r="BA29" s="60"/>
    </row>
    <row r="30" spans="1:60" ht="14.25" hidden="1" customHeight="1">
      <c r="Q30" s="166"/>
      <c r="R30" s="29"/>
      <c r="S30" s="729"/>
      <c r="T30" s="11"/>
      <c r="U30" s="11"/>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row>
    <row r="31" spans="1:60" s="36" customFormat="1" ht="25.5" hidden="1" customHeight="1">
      <c r="A31" s="81"/>
      <c r="B31" s="81"/>
      <c r="C31" s="81"/>
      <c r="D31" s="81"/>
      <c r="E31" s="81"/>
      <c r="F31" s="81"/>
      <c r="G31" s="81"/>
      <c r="H31" s="81"/>
      <c r="I31" s="81"/>
      <c r="J31" s="81"/>
      <c r="K31" s="81"/>
      <c r="L31" s="760"/>
      <c r="M31" s="81"/>
      <c r="N31" s="81"/>
      <c r="O31" s="81"/>
      <c r="P31" s="81"/>
      <c r="Q31" s="81"/>
      <c r="S31" s="1257" t="s">
        <v>37</v>
      </c>
      <c r="T31" s="1257"/>
      <c r="U31" s="763"/>
      <c r="V31" s="1258" t="str">
        <f>IF(TITLE_NAME_OR_PR_CHANGE="",IF(TITLE_NAME_OR_PR="","",TITLE_NAME_OR_PR),TITLE_NAME_OR_PR_CHANGE)</f>
        <v/>
      </c>
      <c r="W31" s="1258"/>
      <c r="X31" s="1258"/>
      <c r="Y31" s="1258"/>
      <c r="Z31" s="1258"/>
      <c r="AA31" s="1258"/>
      <c r="AB31" s="1258"/>
      <c r="AC31" s="12"/>
      <c r="AD31" s="1258" t="str">
        <f>IF(TITLE_NAME_OR_PR_CHANGE="",IF(TITLE_NAME_OR_PR="","",TITLE_NAME_OR_PR),TITLE_NAME_OR_PR_CHANGE)</f>
        <v/>
      </c>
      <c r="AE31" s="1258"/>
      <c r="AF31" s="1258"/>
      <c r="AG31" s="1258"/>
      <c r="AH31" s="1258"/>
      <c r="AI31" s="1258"/>
      <c r="AJ31" s="1258"/>
      <c r="AK31" s="1258"/>
      <c r="AL31" s="1258"/>
      <c r="AM31" s="1258"/>
      <c r="AN31" s="1258"/>
      <c r="AO31" s="1258"/>
      <c r="AP31" s="1258"/>
      <c r="AQ31" s="1258"/>
      <c r="AR31" s="1258"/>
      <c r="AS31" s="1258"/>
      <c r="AT31" s="1258"/>
      <c r="AU31" s="1258"/>
      <c r="AV31" s="1258"/>
      <c r="AW31" s="1258"/>
      <c r="AX31" s="1258"/>
      <c r="AY31" s="1258"/>
      <c r="AZ31" s="1258"/>
      <c r="BA31" s="12"/>
      <c r="BB31" s="12"/>
      <c r="BC31" s="161"/>
      <c r="BD31" s="69"/>
      <c r="BE31" s="69"/>
      <c r="BF31" s="69"/>
      <c r="BG31" s="69"/>
      <c r="BH31" s="69"/>
    </row>
    <row r="32" spans="1:60" s="36" customFormat="1" ht="18.75" hidden="1" customHeight="1">
      <c r="A32" s="81"/>
      <c r="B32" s="81"/>
      <c r="C32" s="81"/>
      <c r="D32" s="81"/>
      <c r="E32" s="81"/>
      <c r="F32" s="81"/>
      <c r="G32" s="81"/>
      <c r="H32" s="81"/>
      <c r="I32" s="81"/>
      <c r="J32" s="81"/>
      <c r="K32" s="81"/>
      <c r="L32" s="760"/>
      <c r="M32" s="81"/>
      <c r="N32" s="81"/>
      <c r="O32" s="81"/>
      <c r="P32" s="81"/>
      <c r="Q32" s="81"/>
      <c r="S32" s="1257" t="s">
        <v>422</v>
      </c>
      <c r="T32" s="1257"/>
      <c r="U32" s="763"/>
      <c r="V32" s="1267" t="str">
        <f>IF(TITLE_DATE_PR_CHANGE="",IF(TITLE_DATE_PR="","",TITLE_DATE_PR),TITLE_DATE_PR_CHANGE)</f>
        <v/>
      </c>
      <c r="W32" s="1267"/>
      <c r="X32" s="1267"/>
      <c r="Y32" s="1267"/>
      <c r="Z32" s="1267"/>
      <c r="AA32" s="1267"/>
      <c r="AB32" s="1267"/>
      <c r="AC32" s="12"/>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2"/>
      <c r="BB32" s="12"/>
      <c r="BC32" s="161"/>
      <c r="BD32" s="69"/>
      <c r="BE32" s="69"/>
      <c r="BF32" s="69"/>
      <c r="BG32" s="69"/>
      <c r="BH32" s="69"/>
    </row>
    <row r="33" spans="1:60" s="36" customFormat="1" ht="18.75" hidden="1" customHeight="1">
      <c r="A33" s="81"/>
      <c r="B33" s="81"/>
      <c r="C33" s="81"/>
      <c r="D33" s="81"/>
      <c r="E33" s="81"/>
      <c r="F33" s="81"/>
      <c r="G33" s="81"/>
      <c r="H33" s="81"/>
      <c r="I33" s="81"/>
      <c r="J33" s="81"/>
      <c r="K33" s="81"/>
      <c r="L33" s="760"/>
      <c r="M33" s="81"/>
      <c r="N33" s="81"/>
      <c r="O33" s="81"/>
      <c r="P33" s="81"/>
      <c r="Q33" s="81"/>
      <c r="S33" s="1257" t="s">
        <v>423</v>
      </c>
      <c r="T33" s="1257"/>
      <c r="U33" s="763"/>
      <c r="V33" s="1258" t="str">
        <f>IF(TITLE_NUMBER_PR_CHANGE="",IF(TITLE_NUMBER_PR="","",TITLE_NUMBER_PR),TITLE_NUMBER_PR_CHANGE)</f>
        <v/>
      </c>
      <c r="W33" s="1258"/>
      <c r="X33" s="1258"/>
      <c r="Y33" s="1258"/>
      <c r="Z33" s="1258"/>
      <c r="AA33" s="1258"/>
      <c r="AB33" s="1258"/>
      <c r="AC33" s="12"/>
      <c r="AD33" s="1258" t="str">
        <f>IF(TITLE_NUMBER_PR_CHANGE="",IF(TITLE_NUMBER_PR="","",TITLE_NUMBER_PR),TITLE_NUMBER_PR_CHANGE)</f>
        <v/>
      </c>
      <c r="AE33" s="1258"/>
      <c r="AF33" s="1258"/>
      <c r="AG33" s="1258"/>
      <c r="AH33" s="1258"/>
      <c r="AI33" s="1258"/>
      <c r="AJ33" s="1258"/>
      <c r="AK33" s="1258"/>
      <c r="AL33" s="1258"/>
      <c r="AM33" s="1258"/>
      <c r="AN33" s="1258"/>
      <c r="AO33" s="1258"/>
      <c r="AP33" s="1258"/>
      <c r="AQ33" s="1258"/>
      <c r="AR33" s="1258"/>
      <c r="AS33" s="1258"/>
      <c r="AT33" s="1258"/>
      <c r="AU33" s="1258"/>
      <c r="AV33" s="1258"/>
      <c r="AW33" s="1258"/>
      <c r="AX33" s="1258"/>
      <c r="AY33" s="1258"/>
      <c r="AZ33" s="1258"/>
      <c r="BA33" s="12"/>
      <c r="BB33" s="12"/>
      <c r="BC33" s="161"/>
      <c r="BD33" s="69"/>
      <c r="BE33" s="69"/>
      <c r="BF33" s="69"/>
      <c r="BG33" s="69"/>
      <c r="BH33" s="69"/>
    </row>
    <row r="34" spans="1:60" s="36" customFormat="1" ht="18.75" hidden="1" customHeight="1">
      <c r="A34" s="81"/>
      <c r="B34" s="81"/>
      <c r="C34" s="81"/>
      <c r="D34" s="81"/>
      <c r="E34" s="81"/>
      <c r="F34" s="81"/>
      <c r="G34" s="81"/>
      <c r="H34" s="81"/>
      <c r="I34" s="81"/>
      <c r="J34" s="81"/>
      <c r="K34" s="81"/>
      <c r="L34" s="760"/>
      <c r="M34" s="81"/>
      <c r="N34" s="81"/>
      <c r="O34" s="81"/>
      <c r="P34" s="81"/>
      <c r="Q34" s="81"/>
      <c r="S34" s="1257" t="s">
        <v>38</v>
      </c>
      <c r="T34" s="1257"/>
      <c r="U34" s="763"/>
      <c r="V34" s="1258" t="str">
        <f>IF(TITLE_IST_PUB_CHANGE="",IF(TITLE_IST_PUB="","",TITLE_IST_PUB),TITLE_IST_PUB_CHANGE)</f>
        <v/>
      </c>
      <c r="W34" s="1258"/>
      <c r="X34" s="1258"/>
      <c r="Y34" s="1258"/>
      <c r="Z34" s="1258"/>
      <c r="AA34" s="1258"/>
      <c r="AB34" s="1258"/>
      <c r="AC34" s="12"/>
      <c r="AD34" s="1258" t="str">
        <f>IF(TITLE_IST_PUB_CHANGE="",IF(TITLE_IST_PUB="","",TITLE_IST_PUB),TITLE_IST_PUB_CHANGE)</f>
        <v/>
      </c>
      <c r="AE34" s="1258"/>
      <c r="AF34" s="1258"/>
      <c r="AG34" s="1258"/>
      <c r="AH34" s="1258"/>
      <c r="AI34" s="1258"/>
      <c r="AJ34" s="1258"/>
      <c r="AK34" s="1258"/>
      <c r="AL34" s="1258"/>
      <c r="AM34" s="1258"/>
      <c r="AN34" s="1258"/>
      <c r="AO34" s="1258"/>
      <c r="AP34" s="1258"/>
      <c r="AQ34" s="1258"/>
      <c r="AR34" s="1258"/>
      <c r="AS34" s="1258"/>
      <c r="AT34" s="1258"/>
      <c r="AU34" s="1258"/>
      <c r="AV34" s="1258"/>
      <c r="AW34" s="1258"/>
      <c r="AX34" s="1258"/>
      <c r="AY34" s="1258"/>
      <c r="AZ34" s="1258"/>
      <c r="BA34" s="12"/>
      <c r="BB34" s="12"/>
      <c r="BC34" s="161"/>
      <c r="BD34" s="69"/>
      <c r="BE34" s="69"/>
      <c r="BF34" s="69"/>
      <c r="BG34" s="69"/>
      <c r="BH34" s="69"/>
    </row>
    <row r="35" spans="1:60" ht="14.25" hidden="1" customHeight="1">
      <c r="Q35" s="166"/>
      <c r="R35" s="29"/>
      <c r="S35" s="729"/>
      <c r="T35" s="11"/>
      <c r="U35" s="11"/>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row>
    <row r="36" spans="1:60" s="36" customFormat="1" ht="18.75" hidden="1" customHeight="1">
      <c r="A36" s="81"/>
      <c r="B36" s="81"/>
      <c r="C36" s="81"/>
      <c r="D36" s="81"/>
      <c r="E36" s="81"/>
      <c r="F36" s="81"/>
      <c r="G36" s="81"/>
      <c r="H36" s="81"/>
      <c r="I36" s="81"/>
      <c r="J36" s="81"/>
      <c r="K36" s="81"/>
      <c r="L36" s="760"/>
      <c r="M36" s="81"/>
      <c r="N36" s="81"/>
      <c r="O36" s="81"/>
      <c r="P36" s="81"/>
      <c r="Q36" s="81"/>
      <c r="S36" s="1257" t="s">
        <v>422</v>
      </c>
      <c r="T36" s="1257"/>
      <c r="U36" s="763"/>
      <c r="V36" s="1267" t="str">
        <f>IF(TITLE_DATE_PR_CHANGE="",IF(TITLE_DATE_PR="","",TITLE_DATE_PR),TITLE_DATE_PR_CHANGE)</f>
        <v/>
      </c>
      <c r="W36" s="1267"/>
      <c r="X36" s="1267"/>
      <c r="Y36" s="1267"/>
      <c r="Z36" s="1267"/>
      <c r="AA36" s="1267"/>
      <c r="AB36" s="1267"/>
      <c r="AC36" s="12"/>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2"/>
      <c r="BB36" s="12"/>
      <c r="BC36" s="161"/>
      <c r="BD36" s="69"/>
      <c r="BE36" s="69"/>
      <c r="BF36" s="69"/>
      <c r="BG36" s="69"/>
      <c r="BH36" s="69"/>
    </row>
    <row r="37" spans="1:60" s="36" customFormat="1" ht="18.75" hidden="1" customHeight="1">
      <c r="A37" s="81"/>
      <c r="B37" s="81"/>
      <c r="C37" s="81"/>
      <c r="D37" s="81"/>
      <c r="E37" s="81"/>
      <c r="F37" s="81"/>
      <c r="G37" s="81"/>
      <c r="H37" s="81"/>
      <c r="I37" s="81"/>
      <c r="J37" s="81"/>
      <c r="K37" s="81"/>
      <c r="L37" s="760"/>
      <c r="M37" s="81"/>
      <c r="N37" s="81"/>
      <c r="O37" s="81"/>
      <c r="P37" s="81"/>
      <c r="Q37" s="81"/>
      <c r="S37" s="1257" t="s">
        <v>423</v>
      </c>
      <c r="T37" s="1257"/>
      <c r="U37" s="763"/>
      <c r="V37" s="1258" t="str">
        <f>IF(TITLE_NUMBER_PR_CHANGE="",IF(TITLE_NUMBER_PR="","",TITLE_NUMBER_PR),TITLE_NUMBER_PR_CHANGE)</f>
        <v/>
      </c>
      <c r="W37" s="1258"/>
      <c r="X37" s="1258"/>
      <c r="Y37" s="1258"/>
      <c r="Z37" s="1258"/>
      <c r="AA37" s="1258"/>
      <c r="AB37" s="1258"/>
      <c r="AC37" s="12"/>
      <c r="AD37" s="1258" t="str">
        <f>IF(TITLE_NUMBER_PR_CHANGE="",IF(TITLE_NUMBER_PR="","",TITLE_NUMBER_PR),TITLE_NUMBER_PR_CHANGE)</f>
        <v/>
      </c>
      <c r="AE37" s="1258"/>
      <c r="AF37" s="1258"/>
      <c r="AG37" s="1258"/>
      <c r="AH37" s="1258"/>
      <c r="AI37" s="1258"/>
      <c r="AJ37" s="1258"/>
      <c r="AK37" s="1258"/>
      <c r="AL37" s="1258"/>
      <c r="AM37" s="1258"/>
      <c r="AN37" s="1258"/>
      <c r="AO37" s="1258"/>
      <c r="AP37" s="1258"/>
      <c r="AQ37" s="1258"/>
      <c r="AR37" s="1258"/>
      <c r="AS37" s="1258"/>
      <c r="AT37" s="1258"/>
      <c r="AU37" s="1258"/>
      <c r="AV37" s="1258"/>
      <c r="AW37" s="1258"/>
      <c r="AX37" s="1258"/>
      <c r="AY37" s="1258"/>
      <c r="AZ37" s="1258"/>
      <c r="BA37" s="12"/>
      <c r="BB37" s="12"/>
      <c r="BC37" s="161"/>
      <c r="BD37" s="69"/>
      <c r="BE37" s="69"/>
      <c r="BF37" s="69"/>
      <c r="BG37" s="69"/>
      <c r="BH37" s="69"/>
    </row>
    <row r="38" spans="1:60" s="36" customFormat="1" ht="0" hidden="1" customHeight="1">
      <c r="A38" s="81"/>
      <c r="B38" s="81"/>
      <c r="C38" s="81"/>
      <c r="D38" s="81"/>
      <c r="E38" s="81"/>
      <c r="F38" s="81"/>
      <c r="G38" s="81"/>
      <c r="H38" s="81"/>
      <c r="I38" s="81"/>
      <c r="J38" s="81"/>
      <c r="K38" s="81"/>
      <c r="L38" s="760"/>
      <c r="M38" s="81"/>
      <c r="N38" s="81"/>
      <c r="O38" s="81"/>
      <c r="P38" s="81"/>
      <c r="Q38" s="81"/>
      <c r="S38" s="12"/>
      <c r="T38" s="12"/>
      <c r="U38" s="77"/>
      <c r="V38" s="12"/>
      <c r="W38" s="12"/>
      <c r="X38" s="12"/>
      <c r="Y38" s="12"/>
      <c r="Z38" s="12"/>
      <c r="AA38" s="12"/>
      <c r="AB38" s="12"/>
      <c r="AC38" s="68" t="s">
        <v>426</v>
      </c>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68" t="s">
        <v>426</v>
      </c>
      <c r="BD38" s="69"/>
      <c r="BE38" s="69"/>
      <c r="BF38" s="69"/>
      <c r="BG38" s="69"/>
      <c r="BH38" s="69"/>
    </row>
    <row r="39" spans="1:60" ht="14.25" customHeight="1">
      <c r="Q39" s="166"/>
      <c r="R39" s="29"/>
      <c r="S39" s="729"/>
      <c r="T39" s="11"/>
      <c r="U39" s="70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U39" s="1259"/>
      <c r="AV39" s="1259"/>
      <c r="AW39" s="1259"/>
      <c r="AX39" s="1259"/>
      <c r="AY39" s="1259"/>
      <c r="AZ39" s="1259"/>
      <c r="BA39" s="1259"/>
    </row>
    <row r="40" spans="1:60" ht="14.25" customHeight="1">
      <c r="Q40" s="166"/>
      <c r="R40" s="29"/>
      <c r="S40" s="1146" t="s">
        <v>299</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300</v>
      </c>
    </row>
    <row r="41" spans="1:60" ht="14.25" customHeight="1">
      <c r="Q41" s="166"/>
      <c r="R41" s="29"/>
      <c r="S41" s="1273" t="s">
        <v>84</v>
      </c>
      <c r="T41" s="1224" t="s">
        <v>506</v>
      </c>
      <c r="U41" s="170"/>
      <c r="V41" s="1274" t="s">
        <v>428</v>
      </c>
      <c r="W41" s="1275"/>
      <c r="X41" s="1275"/>
      <c r="Y41" s="1275"/>
      <c r="Z41" s="1275"/>
      <c r="AA41" s="1275"/>
      <c r="AB41" s="1276"/>
      <c r="AC41" s="1277" t="s">
        <v>429</v>
      </c>
      <c r="AD41" s="1310" t="s">
        <v>507</v>
      </c>
      <c r="AE41" s="1291"/>
      <c r="AF41" s="1291"/>
      <c r="AG41" s="1311"/>
      <c r="AH41" s="1310" t="s">
        <v>508</v>
      </c>
      <c r="AI41" s="1291"/>
      <c r="AJ41" s="1291"/>
      <c r="AK41" s="1311"/>
      <c r="AL41" s="1310" t="s">
        <v>509</v>
      </c>
      <c r="AM41" s="1291"/>
      <c r="AN41" s="1291"/>
      <c r="AO41" s="1311"/>
      <c r="AP41" s="1310" t="s">
        <v>510</v>
      </c>
      <c r="AQ41" s="1291"/>
      <c r="AR41" s="1291"/>
      <c r="AS41" s="1311"/>
      <c r="AT41" s="1274" t="s">
        <v>428</v>
      </c>
      <c r="AU41" s="1275"/>
      <c r="AV41" s="1275"/>
      <c r="AW41" s="1275"/>
      <c r="AX41" s="1275"/>
      <c r="AY41" s="1275"/>
      <c r="AZ41" s="1276"/>
      <c r="BA41" s="1277" t="s">
        <v>429</v>
      </c>
      <c r="BB41" s="1280" t="s">
        <v>431</v>
      </c>
      <c r="BC41" s="1146"/>
    </row>
    <row r="42" spans="1:60" ht="33.75" customHeight="1">
      <c r="Q42" s="166"/>
      <c r="R42" s="29"/>
      <c r="S42" s="1273"/>
      <c r="T42" s="1224"/>
      <c r="U42" s="595"/>
      <c r="V42" s="1210" t="s">
        <v>511</v>
      </c>
      <c r="W42" s="1211"/>
      <c r="X42" s="1210" t="s">
        <v>512</v>
      </c>
      <c r="Y42" s="1211"/>
      <c r="Z42" s="1210" t="s">
        <v>513</v>
      </c>
      <c r="AA42" s="1305"/>
      <c r="AB42" s="1211"/>
      <c r="AC42" s="1278"/>
      <c r="AD42" s="1312"/>
      <c r="AE42" s="1313"/>
      <c r="AF42" s="1313"/>
      <c r="AG42" s="1314"/>
      <c r="AH42" s="1312"/>
      <c r="AI42" s="1313"/>
      <c r="AJ42" s="1313"/>
      <c r="AK42" s="1314"/>
      <c r="AL42" s="1312"/>
      <c r="AM42" s="1313"/>
      <c r="AN42" s="1313"/>
      <c r="AO42" s="1314"/>
      <c r="AP42" s="1312"/>
      <c r="AQ42" s="1313"/>
      <c r="AR42" s="1313"/>
      <c r="AS42" s="1314"/>
      <c r="AT42" s="1210" t="s">
        <v>511</v>
      </c>
      <c r="AU42" s="1211"/>
      <c r="AV42" s="1210" t="s">
        <v>512</v>
      </c>
      <c r="AW42" s="1211"/>
      <c r="AX42" s="1210" t="s">
        <v>513</v>
      </c>
      <c r="AY42" s="1305"/>
      <c r="AZ42" s="1211"/>
      <c r="BA42" s="1278"/>
      <c r="BB42" s="1281"/>
      <c r="BC42" s="1146"/>
    </row>
    <row r="43" spans="1:60" ht="14.25" customHeight="1">
      <c r="Q43" s="166"/>
      <c r="R43" s="29"/>
      <c r="S43" s="1273"/>
      <c r="T43" s="1224"/>
      <c r="U43" s="595"/>
      <c r="V43" s="1215"/>
      <c r="W43" s="1216"/>
      <c r="X43" s="1215"/>
      <c r="Y43" s="1216"/>
      <c r="Z43" s="1215"/>
      <c r="AA43" s="1306"/>
      <c r="AB43" s="1216"/>
      <c r="AC43" s="1278"/>
      <c r="AD43" s="1312"/>
      <c r="AE43" s="1313"/>
      <c r="AF43" s="1313"/>
      <c r="AG43" s="1314"/>
      <c r="AH43" s="1312"/>
      <c r="AI43" s="1313"/>
      <c r="AJ43" s="1313"/>
      <c r="AK43" s="1314"/>
      <c r="AL43" s="1312"/>
      <c r="AM43" s="1313"/>
      <c r="AN43" s="1313"/>
      <c r="AO43" s="1314"/>
      <c r="AP43" s="1312"/>
      <c r="AQ43" s="1313"/>
      <c r="AR43" s="1313"/>
      <c r="AS43" s="1314"/>
      <c r="AT43" s="1215"/>
      <c r="AU43" s="1216"/>
      <c r="AV43" s="1215"/>
      <c r="AW43" s="1216"/>
      <c r="AX43" s="1215"/>
      <c r="AY43" s="1306"/>
      <c r="AZ43" s="1216"/>
      <c r="BA43" s="1278"/>
      <c r="BB43" s="1281"/>
      <c r="BC43" s="1146"/>
    </row>
    <row r="44" spans="1:60" ht="14.25" customHeight="1">
      <c r="A44" s="81"/>
      <c r="B44" s="81" t="s">
        <v>136</v>
      </c>
      <c r="C44" s="81" t="s">
        <v>137</v>
      </c>
      <c r="D44" s="81" t="s">
        <v>138</v>
      </c>
      <c r="E44" s="760" t="s">
        <v>436</v>
      </c>
      <c r="F44" s="760" t="s">
        <v>437</v>
      </c>
      <c r="G44" s="760" t="s">
        <v>438</v>
      </c>
      <c r="H44" s="760" t="s">
        <v>439</v>
      </c>
      <c r="I44" s="760" t="s">
        <v>440</v>
      </c>
      <c r="J44" s="760" t="s">
        <v>441</v>
      </c>
      <c r="K44" s="760" t="s">
        <v>442</v>
      </c>
      <c r="L44" s="760" t="s">
        <v>417</v>
      </c>
      <c r="Q44" s="166"/>
      <c r="R44" s="29"/>
      <c r="S44" s="1273"/>
      <c r="T44" s="1224"/>
      <c r="U44" s="171"/>
      <c r="V44" s="37" t="s">
        <v>477</v>
      </c>
      <c r="W44" s="37" t="s">
        <v>478</v>
      </c>
      <c r="X44" s="37" t="s">
        <v>477</v>
      </c>
      <c r="Y44" s="37" t="s">
        <v>478</v>
      </c>
      <c r="Z44" s="40" t="s">
        <v>445</v>
      </c>
      <c r="AA44" s="1233" t="s">
        <v>446</v>
      </c>
      <c r="AB44" s="1235"/>
      <c r="AC44" s="1279"/>
      <c r="AD44" s="1315"/>
      <c r="AE44" s="1316"/>
      <c r="AF44" s="1316"/>
      <c r="AG44" s="1317"/>
      <c r="AH44" s="1315"/>
      <c r="AI44" s="1316"/>
      <c r="AJ44" s="1316"/>
      <c r="AK44" s="1317"/>
      <c r="AL44" s="1315"/>
      <c r="AM44" s="1316"/>
      <c r="AN44" s="1316"/>
      <c r="AO44" s="1317"/>
      <c r="AP44" s="1315"/>
      <c r="AQ44" s="1316"/>
      <c r="AR44" s="1316"/>
      <c r="AS44" s="1317"/>
      <c r="AT44" s="37" t="s">
        <v>477</v>
      </c>
      <c r="AU44" s="37" t="s">
        <v>478</v>
      </c>
      <c r="AV44" s="37" t="s">
        <v>477</v>
      </c>
      <c r="AW44" s="37" t="s">
        <v>478</v>
      </c>
      <c r="AX44" s="40" t="s">
        <v>445</v>
      </c>
      <c r="AY44" s="1233" t="s">
        <v>446</v>
      </c>
      <c r="AZ44" s="1235"/>
      <c r="BA44" s="1279"/>
      <c r="BB44" s="1282"/>
      <c r="BC44" s="1146"/>
    </row>
    <row r="45" spans="1:60" s="201" customFormat="1" ht="11.25" hidden="1" customHeight="1">
      <c r="A45" s="81"/>
      <c r="B45" s="81"/>
      <c r="C45" s="81"/>
      <c r="D45" s="81"/>
      <c r="E45" s="81"/>
      <c r="F45" s="81"/>
      <c r="G45" s="81"/>
      <c r="H45" s="81"/>
      <c r="I45" s="81"/>
      <c r="J45" s="81"/>
      <c r="K45" s="81"/>
      <c r="L45" s="760"/>
      <c r="M45" s="497"/>
      <c r="N45" s="497"/>
      <c r="O45" s="497"/>
      <c r="P45" s="288"/>
      <c r="Q45" s="714"/>
      <c r="R45" s="714">
        <v>1</v>
      </c>
      <c r="S45" s="731" t="s">
        <v>105</v>
      </c>
      <c r="T45" s="715" t="s">
        <v>106</v>
      </c>
      <c r="U45" s="710" t="str">
        <f ca="1">OFFSET(U45,0,-1)</f>
        <v>2</v>
      </c>
      <c r="V45" s="716">
        <f t="shared" ref="V45:AA45" ca="1" si="2">OFFSET(V45,0,-1)+1</f>
        <v>3</v>
      </c>
      <c r="W45" s="716">
        <f t="shared" ca="1" si="2"/>
        <v>4</v>
      </c>
      <c r="X45" s="716">
        <f t="shared" ca="1" si="2"/>
        <v>5</v>
      </c>
      <c r="Y45" s="716">
        <f t="shared" ca="1" si="2"/>
        <v>6</v>
      </c>
      <c r="Z45" s="716">
        <f t="shared" ca="1" si="2"/>
        <v>7</v>
      </c>
      <c r="AA45" s="1272">
        <f t="shared" ca="1" si="2"/>
        <v>8</v>
      </c>
      <c r="AB45" s="1272"/>
      <c r="AC45" s="716">
        <f ca="1">OFFSET(AC45,0,-2)+1</f>
        <v>9</v>
      </c>
      <c r="AD45" s="716">
        <f ca="1">OFFSET(AD45,0,-1)+1</f>
        <v>10</v>
      </c>
      <c r="AE45" s="716"/>
      <c r="AF45" s="716"/>
      <c r="AG45" s="716"/>
      <c r="AH45" s="716"/>
      <c r="AI45" s="716"/>
      <c r="AJ45" s="716"/>
      <c r="AK45" s="716"/>
      <c r="AL45" s="716"/>
      <c r="AM45" s="716"/>
      <c r="AN45" s="716"/>
      <c r="AO45" s="716"/>
      <c r="AP45" s="716"/>
      <c r="AQ45" s="716"/>
      <c r="AR45" s="716"/>
      <c r="AS45" s="716"/>
      <c r="AT45" s="716"/>
      <c r="AU45" s="716"/>
      <c r="AV45" s="716"/>
      <c r="AW45" s="716">
        <f ca="1">OFFSET(AW45,0,-1)+1</f>
        <v>1</v>
      </c>
      <c r="AX45" s="716">
        <f ca="1">OFFSET(AX45,0,-1)+1</f>
        <v>2</v>
      </c>
      <c r="AY45" s="1272">
        <f ca="1">OFFSET(AY45,0,-1)+1</f>
        <v>3</v>
      </c>
      <c r="AZ45" s="1272"/>
      <c r="BA45" s="716">
        <f ca="1">OFFSET(BA45,0,-2)+1</f>
        <v>4</v>
      </c>
      <c r="BB45" s="710">
        <f ca="1">OFFSET(BB45,0,-1)</f>
        <v>4</v>
      </c>
      <c r="BC45" s="716">
        <f ca="1">OFFSET(BC45,0,-1)+1</f>
        <v>5</v>
      </c>
      <c r="BD45" s="68"/>
      <c r="BE45" s="68"/>
      <c r="BF45" s="68"/>
      <c r="BG45" s="68"/>
      <c r="BH45" s="68"/>
    </row>
    <row r="46" spans="1:60" ht="21" customHeight="1">
      <c r="A46" s="759" t="s">
        <v>245</v>
      </c>
      <c r="B46" s="759"/>
      <c r="C46" s="759"/>
      <c r="D46" s="759"/>
      <c r="E46" s="1265">
        <v>1</v>
      </c>
      <c r="F46" s="759"/>
      <c r="G46" s="759"/>
      <c r="H46" s="759"/>
      <c r="I46" s="759"/>
      <c r="J46" s="759"/>
      <c r="K46" s="759"/>
      <c r="L46" s="760"/>
      <c r="M46" s="417"/>
      <c r="N46" s="417"/>
      <c r="O46" s="417"/>
      <c r="Q46" s="62"/>
      <c r="R46" s="205"/>
      <c r="S46" s="698">
        <f>INDEX(PT_DIFFERENTIATION_NUM_NTAR,MATCH(A46,PT_DIFFERENTIATION_NTAR_ID,0))</f>
        <v>0</v>
      </c>
      <c r="T46" s="67" t="s">
        <v>124</v>
      </c>
      <c r="U46" s="169"/>
      <c r="V46" s="1252"/>
      <c r="W46" s="1252"/>
      <c r="X46" s="1252"/>
      <c r="Y46" s="1252"/>
      <c r="Z46" s="1252"/>
      <c r="AA46" s="1252"/>
      <c r="AB46" s="1252"/>
      <c r="AC46" s="1253"/>
      <c r="AD46" s="1251" t="str">
        <f>INDEX(PT_DIFFERENTIATION_NTAR,MATCH(A46,PT_DIFFERENTIATION_NTAR_ID,0))</f>
        <v/>
      </c>
      <c r="AE46" s="1252"/>
      <c r="AF46" s="1252"/>
      <c r="AG46" s="1252"/>
      <c r="AH46" s="1252"/>
      <c r="AI46" s="1252"/>
      <c r="AJ46" s="1252"/>
      <c r="AK46" s="1252"/>
      <c r="AL46" s="1252"/>
      <c r="AM46" s="1252"/>
      <c r="AN46" s="1252"/>
      <c r="AO46" s="1252"/>
      <c r="AP46" s="1252"/>
      <c r="AQ46" s="1252"/>
      <c r="AR46" s="1252"/>
      <c r="AS46" s="1252"/>
      <c r="AT46" s="1252"/>
      <c r="AU46" s="1252"/>
      <c r="AV46" s="1252"/>
      <c r="AW46" s="1252"/>
      <c r="AX46" s="1252"/>
      <c r="AY46" s="1252"/>
      <c r="AZ46" s="1252"/>
      <c r="BA46" s="1252"/>
      <c r="BB46" s="1253"/>
      <c r="BC46"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row>
    <row r="47" spans="1:60" ht="21" customHeight="1">
      <c r="A47" s="759" t="s">
        <v>245</v>
      </c>
      <c r="B47" s="759" t="s">
        <v>246</v>
      </c>
      <c r="C47" s="759"/>
      <c r="D47" s="759"/>
      <c r="E47" s="1266"/>
      <c r="F47" s="1265">
        <v>1</v>
      </c>
      <c r="G47" s="759"/>
      <c r="H47" s="759"/>
      <c r="I47" s="759"/>
      <c r="J47" s="759"/>
      <c r="K47" s="759"/>
      <c r="L47" s="760"/>
      <c r="M47" s="417"/>
      <c r="N47" s="417"/>
      <c r="O47" s="417"/>
      <c r="P47" s="299"/>
      <c r="Q47" s="792"/>
      <c r="R47" s="203"/>
      <c r="S47" s="698" t="str">
        <f>INDEX(PT_DIFFERENTIATION_NUM_TER,MATCH(B47,PT_DIFFERENTIATION_TER_ID,0))</f>
        <v>.</v>
      </c>
      <c r="T47" s="175" t="s">
        <v>396</v>
      </c>
      <c r="U47" s="169"/>
      <c r="V47" s="1252"/>
      <c r="W47" s="1252"/>
      <c r="X47" s="1252"/>
      <c r="Y47" s="1252"/>
      <c r="Z47" s="1252"/>
      <c r="AA47" s="1252"/>
      <c r="AB47" s="1252"/>
      <c r="AC47" s="1253"/>
      <c r="AD47" s="1251" t="str">
        <f>INDEX(PT_DIFFERENTIATION_TER,MATCH(B47,PT_DIFFERENTIATION_TER_ID,0))</f>
        <v/>
      </c>
      <c r="AE47" s="1252"/>
      <c r="AF47" s="1252"/>
      <c r="AG47" s="1252"/>
      <c r="AH47" s="1252"/>
      <c r="AI47" s="1252"/>
      <c r="AJ47" s="1252"/>
      <c r="AK47" s="1252"/>
      <c r="AL47" s="1252"/>
      <c r="AM47" s="1252"/>
      <c r="AN47" s="1252"/>
      <c r="AO47" s="1252"/>
      <c r="AP47" s="1252"/>
      <c r="AQ47" s="1252"/>
      <c r="AR47" s="1252"/>
      <c r="AS47" s="1252"/>
      <c r="AT47" s="1252"/>
      <c r="AU47" s="1252"/>
      <c r="AV47" s="1252"/>
      <c r="AW47" s="1252"/>
      <c r="AX47" s="1252"/>
      <c r="AY47" s="1252"/>
      <c r="AZ47" s="1252"/>
      <c r="BA47" s="1252"/>
      <c r="BB47" s="1253"/>
      <c r="BC47" s="718" t="s">
        <v>397</v>
      </c>
      <c r="BE47" s="69"/>
      <c r="BF47" s="69" t="str">
        <f t="shared" si="3"/>
        <v>Территория действия тарифа</v>
      </c>
      <c r="BG47" s="69"/>
      <c r="BH47" s="69"/>
    </row>
    <row r="48" spans="1:60" ht="42" customHeight="1">
      <c r="A48" s="759" t="s">
        <v>245</v>
      </c>
      <c r="B48" s="759" t="s">
        <v>246</v>
      </c>
      <c r="C48" s="759" t="s">
        <v>247</v>
      </c>
      <c r="D48" s="759"/>
      <c r="E48" s="1266"/>
      <c r="F48" s="1266"/>
      <c r="G48" s="1265">
        <v>1</v>
      </c>
      <c r="H48" s="759"/>
      <c r="I48" s="759"/>
      <c r="J48" s="759"/>
      <c r="K48" s="759"/>
      <c r="L48" s="760"/>
      <c r="M48" s="417"/>
      <c r="N48" s="417"/>
      <c r="O48" s="417"/>
      <c r="P48" s="129"/>
      <c r="Q48" s="792"/>
      <c r="R48" s="203"/>
      <c r="S48" s="698" t="str">
        <f>INDEX(PT_DIFFERENTIATION_NUM_CS,MATCH(C48,PT_DIFFERENTIATION_CS_ID,0))</f>
        <v>..</v>
      </c>
      <c r="T48" s="176" t="s">
        <v>480</v>
      </c>
      <c r="U48" s="169"/>
      <c r="V48" s="1252"/>
      <c r="W48" s="1252"/>
      <c r="X48" s="1252"/>
      <c r="Y48" s="1252"/>
      <c r="Z48" s="1252"/>
      <c r="AA48" s="1252"/>
      <c r="AB48" s="1252"/>
      <c r="AC48" s="1253"/>
      <c r="AD48" s="1251" t="str">
        <f>INDEX(PT_DIFFERENTIATION_CS,MATCH(C48,PT_DIFFERENTIATION_CS_ID,0))</f>
        <v/>
      </c>
      <c r="AE48" s="1252"/>
      <c r="AF48" s="1252"/>
      <c r="AG48" s="1252"/>
      <c r="AH48" s="1252"/>
      <c r="AI48" s="1252"/>
      <c r="AJ48" s="1252"/>
      <c r="AK48" s="1252"/>
      <c r="AL48" s="1252"/>
      <c r="AM48" s="1252"/>
      <c r="AN48" s="1252"/>
      <c r="AO48" s="1252"/>
      <c r="AP48" s="1252"/>
      <c r="AQ48" s="1252"/>
      <c r="AR48" s="1252"/>
      <c r="AS48" s="1252"/>
      <c r="AT48" s="1252"/>
      <c r="AU48" s="1252"/>
      <c r="AV48" s="1252"/>
      <c r="AW48" s="1252"/>
      <c r="AX48" s="1252"/>
      <c r="AY48" s="1252"/>
      <c r="AZ48" s="1252"/>
      <c r="BA48" s="1252"/>
      <c r="BB48" s="1253"/>
      <c r="BC48" s="718" t="s">
        <v>481</v>
      </c>
      <c r="BE48" s="69"/>
      <c r="BF48" s="69" t="str">
        <f t="shared" si="3"/>
        <v>Наименование централизованной системы холодного водоснабжения</v>
      </c>
      <c r="BG48" s="69"/>
      <c r="BH48" s="69"/>
    </row>
    <row r="49" spans="1:60" s="68" customFormat="1" ht="0" hidden="1" customHeight="1">
      <c r="A49" s="143" t="s">
        <v>245</v>
      </c>
      <c r="B49" s="143" t="s">
        <v>246</v>
      </c>
      <c r="C49" s="143" t="s">
        <v>247</v>
      </c>
      <c r="D49" s="143" t="s">
        <v>514</v>
      </c>
      <c r="E49" s="1266"/>
      <c r="F49" s="1266"/>
      <c r="G49" s="1266"/>
      <c r="H49" s="1265">
        <v>1</v>
      </c>
      <c r="I49" s="143"/>
      <c r="J49" s="143"/>
      <c r="K49" s="143"/>
      <c r="L49" s="338"/>
      <c r="M49" s="291"/>
      <c r="N49" s="291"/>
      <c r="O49" s="291"/>
      <c r="P49" s="810"/>
      <c r="Q49" s="811"/>
      <c r="R49" s="207"/>
      <c r="S49" s="353"/>
      <c r="T49" s="812"/>
      <c r="U49" s="770"/>
      <c r="V49" s="1295"/>
      <c r="W49" s="1295"/>
      <c r="X49" s="1295"/>
      <c r="Y49" s="1295"/>
      <c r="Z49" s="1295"/>
      <c r="AA49" s="1295"/>
      <c r="AB49" s="1295"/>
      <c r="AC49" s="1296"/>
      <c r="AD49" s="1294"/>
      <c r="AE49" s="1295"/>
      <c r="AF49" s="1295"/>
      <c r="AG49" s="1295"/>
      <c r="AH49" s="1295"/>
      <c r="AI49" s="1295"/>
      <c r="AJ49" s="1295"/>
      <c r="AK49" s="1295"/>
      <c r="AL49" s="1295"/>
      <c r="AM49" s="1295"/>
      <c r="AN49" s="1295"/>
      <c r="AO49" s="1295"/>
      <c r="AP49" s="1295"/>
      <c r="AQ49" s="1295"/>
      <c r="AR49" s="1295"/>
      <c r="AS49" s="1295"/>
      <c r="AT49" s="1295"/>
      <c r="AU49" s="1295"/>
      <c r="AV49" s="1295"/>
      <c r="AW49" s="1295"/>
      <c r="AX49" s="1295"/>
      <c r="AY49" s="1295"/>
      <c r="AZ49" s="1295"/>
      <c r="BA49" s="1295"/>
      <c r="BB49" s="1296"/>
      <c r="BC49" s="771" t="s">
        <v>401</v>
      </c>
      <c r="BE49" s="69"/>
      <c r="BF49" s="69" t="str">
        <f t="shared" si="3"/>
        <v/>
      </c>
      <c r="BG49" s="69"/>
      <c r="BH49" s="69"/>
    </row>
    <row r="50" spans="1:60" s="68" customFormat="1" ht="0" hidden="1" customHeight="1">
      <c r="A50" s="143" t="s">
        <v>245</v>
      </c>
      <c r="B50" s="143" t="s">
        <v>246</v>
      </c>
      <c r="C50" s="143" t="s">
        <v>247</v>
      </c>
      <c r="D50" s="143" t="s">
        <v>514</v>
      </c>
      <c r="E50" s="1266"/>
      <c r="F50" s="1266"/>
      <c r="G50" s="1266"/>
      <c r="H50" s="1266"/>
      <c r="I50" s="1263" t="str">
        <f>S49&amp;".1"</f>
        <v>.1</v>
      </c>
      <c r="J50" s="143"/>
      <c r="K50" s="143"/>
      <c r="L50" s="338" t="s">
        <v>402</v>
      </c>
      <c r="M50" s="288"/>
      <c r="N50" s="288"/>
      <c r="O50" s="288"/>
      <c r="P50" s="1264">
        <v>1</v>
      </c>
      <c r="Q50" s="120"/>
      <c r="R50" s="206"/>
      <c r="S50" s="353"/>
      <c r="T50" s="769"/>
      <c r="U50" s="770"/>
      <c r="V50" s="1295"/>
      <c r="W50" s="1295"/>
      <c r="X50" s="1295"/>
      <c r="Y50" s="1295"/>
      <c r="Z50" s="1295"/>
      <c r="AA50" s="1295"/>
      <c r="AB50" s="1295"/>
      <c r="AC50" s="1296"/>
      <c r="AD50" s="1294"/>
      <c r="AE50" s="1295"/>
      <c r="AF50" s="1295"/>
      <c r="AG50" s="1295"/>
      <c r="AH50" s="1295"/>
      <c r="AI50" s="1295"/>
      <c r="AJ50" s="1295"/>
      <c r="AK50" s="1295"/>
      <c r="AL50" s="1295"/>
      <c r="AM50" s="1295"/>
      <c r="AN50" s="1295"/>
      <c r="AO50" s="1295"/>
      <c r="AP50" s="1295"/>
      <c r="AQ50" s="1295"/>
      <c r="AR50" s="1295"/>
      <c r="AS50" s="1295"/>
      <c r="AT50" s="1295"/>
      <c r="AU50" s="1295"/>
      <c r="AV50" s="1295"/>
      <c r="AW50" s="1295"/>
      <c r="AX50" s="1295"/>
      <c r="AY50" s="1295"/>
      <c r="AZ50" s="1295"/>
      <c r="BA50" s="1295"/>
      <c r="BB50" s="1296"/>
      <c r="BC50" s="771"/>
      <c r="BE50" s="69"/>
      <c r="BF50" s="69" t="str">
        <f t="shared" si="3"/>
        <v/>
      </c>
      <c r="BG50" s="69"/>
      <c r="BH50" s="69"/>
    </row>
    <row r="51" spans="1:60" s="68" customFormat="1" ht="0" hidden="1" customHeight="1">
      <c r="A51" s="143" t="s">
        <v>245</v>
      </c>
      <c r="B51" s="143" t="s">
        <v>246</v>
      </c>
      <c r="C51" s="143" t="s">
        <v>247</v>
      </c>
      <c r="D51" s="143" t="s">
        <v>514</v>
      </c>
      <c r="E51" s="1266"/>
      <c r="F51" s="1266"/>
      <c r="G51" s="1266"/>
      <c r="H51" s="1266"/>
      <c r="I51" s="1286"/>
      <c r="J51" s="1263" t="str">
        <f>S49&amp;".1"</f>
        <v>.1</v>
      </c>
      <c r="K51" s="143"/>
      <c r="L51" s="338"/>
      <c r="M51" s="288"/>
      <c r="N51" s="288"/>
      <c r="O51" s="288"/>
      <c r="P51" s="1264"/>
      <c r="Q51" s="1264">
        <v>1</v>
      </c>
      <c r="R51" s="207"/>
      <c r="S51" s="353"/>
      <c r="T51" s="784"/>
      <c r="U51" s="770"/>
      <c r="V51" s="1295"/>
      <c r="W51" s="1295"/>
      <c r="X51" s="1295"/>
      <c r="Y51" s="1295"/>
      <c r="Z51" s="1295"/>
      <c r="AA51" s="1295"/>
      <c r="AB51" s="1295"/>
      <c r="AC51" s="1296"/>
      <c r="AD51" s="1294"/>
      <c r="AE51" s="1295"/>
      <c r="AF51" s="1295"/>
      <c r="AG51" s="1295"/>
      <c r="AH51" s="1295"/>
      <c r="AI51" s="1295"/>
      <c r="AJ51" s="1295"/>
      <c r="AK51" s="1295"/>
      <c r="AL51" s="1295"/>
      <c r="AM51" s="1295"/>
      <c r="AN51" s="1346"/>
      <c r="AO51" s="1346"/>
      <c r="AP51" s="1295"/>
      <c r="AQ51" s="1295"/>
      <c r="AR51" s="1295"/>
      <c r="AS51" s="1295"/>
      <c r="AT51" s="1295"/>
      <c r="AU51" s="1295"/>
      <c r="AV51" s="1295"/>
      <c r="AW51" s="1295"/>
      <c r="AX51" s="1295"/>
      <c r="AY51" s="1295"/>
      <c r="AZ51" s="1295"/>
      <c r="BA51" s="1295"/>
      <c r="BB51" s="1296"/>
      <c r="BC51" s="771"/>
      <c r="BE51" s="69"/>
      <c r="BF51" s="69" t="str">
        <f t="shared" si="3"/>
        <v/>
      </c>
      <c r="BG51" s="69"/>
      <c r="BH51" s="69"/>
    </row>
    <row r="52" spans="1:60" ht="11.25" customHeight="1">
      <c r="A52" s="759" t="s">
        <v>245</v>
      </c>
      <c r="B52" s="759" t="s">
        <v>246</v>
      </c>
      <c r="C52" s="759" t="s">
        <v>247</v>
      </c>
      <c r="D52" s="759" t="s">
        <v>514</v>
      </c>
      <c r="E52" s="1266"/>
      <c r="F52" s="1266"/>
      <c r="G52" s="1266"/>
      <c r="H52" s="1266"/>
      <c r="I52" s="1286"/>
      <c r="J52" s="1286"/>
      <c r="K52" s="1263" t="str">
        <f>S48&amp;".1"</f>
        <v>...1</v>
      </c>
      <c r="L52" s="760"/>
      <c r="P52" s="1264"/>
      <c r="Q52" s="1264"/>
      <c r="R52" s="207">
        <v>1</v>
      </c>
      <c r="S52" s="1322" t="str">
        <f>$K52</f>
        <v>...1</v>
      </c>
      <c r="T52" s="1341"/>
      <c r="U52" s="169"/>
      <c r="V52" s="304"/>
      <c r="W52" s="717"/>
      <c r="X52" s="304"/>
      <c r="Y52" s="717"/>
      <c r="Z52" s="933"/>
      <c r="AA52" s="295" t="s">
        <v>62</v>
      </c>
      <c r="AB52" s="933"/>
      <c r="AC52" s="295" t="s">
        <v>62</v>
      </c>
      <c r="AD52" s="1203" t="s">
        <v>62</v>
      </c>
      <c r="AE52" s="1308"/>
      <c r="AF52" s="1220">
        <v>1</v>
      </c>
      <c r="AG52" s="1345"/>
      <c r="AH52" s="1127" t="s">
        <v>62</v>
      </c>
      <c r="AI52" s="1308"/>
      <c r="AJ52" s="1220">
        <v>1</v>
      </c>
      <c r="AK52" s="1344" t="s">
        <v>18</v>
      </c>
      <c r="AL52" s="1127" t="s">
        <v>62</v>
      </c>
      <c r="AM52" s="1210"/>
      <c r="AN52" s="1220">
        <v>1</v>
      </c>
      <c r="AO52" s="1338"/>
      <c r="AP52" s="1339" t="s">
        <v>62</v>
      </c>
      <c r="AQ52" s="178"/>
      <c r="AR52" s="266">
        <v>1</v>
      </c>
      <c r="AS52" s="117" t="s">
        <v>18</v>
      </c>
      <c r="AT52" s="304"/>
      <c r="AU52" s="717"/>
      <c r="AV52" s="304"/>
      <c r="AW52" s="717"/>
      <c r="AX52" s="933"/>
      <c r="AY52" s="295" t="s">
        <v>62</v>
      </c>
      <c r="AZ52" s="933"/>
      <c r="BA52" s="295" t="s">
        <v>62</v>
      </c>
      <c r="BB52" s="756"/>
      <c r="BC52" s="1260" t="s">
        <v>500</v>
      </c>
      <c r="BE52" s="69"/>
      <c r="BF52" s="69" t="str">
        <f t="shared" si="3"/>
        <v/>
      </c>
      <c r="BG52" s="69"/>
      <c r="BH52" s="69"/>
    </row>
    <row r="53" spans="1:60" ht="11.25" customHeight="1">
      <c r="A53" s="759"/>
      <c r="B53" s="759"/>
      <c r="C53" s="759"/>
      <c r="D53" s="759"/>
      <c r="E53" s="1266"/>
      <c r="F53" s="1266"/>
      <c r="G53" s="1266"/>
      <c r="H53" s="1266"/>
      <c r="I53" s="1286"/>
      <c r="J53" s="1286"/>
      <c r="K53" s="1263"/>
      <c r="L53" s="760"/>
      <c r="P53" s="1264"/>
      <c r="Q53" s="1264"/>
      <c r="R53" s="207"/>
      <c r="S53" s="1323"/>
      <c r="T53" s="1342"/>
      <c r="U53" s="169"/>
      <c r="V53" s="779"/>
      <c r="W53" s="809"/>
      <c r="X53" s="779"/>
      <c r="Y53" s="809"/>
      <c r="Z53" s="779"/>
      <c r="AA53" s="779"/>
      <c r="AB53" s="779"/>
      <c r="AC53" s="779"/>
      <c r="AD53" s="1204"/>
      <c r="AE53" s="1308"/>
      <c r="AF53" s="1220"/>
      <c r="AG53" s="1345"/>
      <c r="AH53" s="1127"/>
      <c r="AI53" s="1308"/>
      <c r="AJ53" s="1220"/>
      <c r="AK53" s="1344"/>
      <c r="AL53" s="1127"/>
      <c r="AM53" s="1215"/>
      <c r="AN53" s="1220"/>
      <c r="AO53" s="1338"/>
      <c r="AP53" s="1340"/>
      <c r="AQ53" s="182"/>
      <c r="AR53" s="53"/>
      <c r="AS53" s="53" t="s">
        <v>501</v>
      </c>
      <c r="AT53" s="779"/>
      <c r="AU53" s="809"/>
      <c r="AV53" s="779"/>
      <c r="AW53" s="809"/>
      <c r="AX53" s="779"/>
      <c r="AY53" s="779"/>
      <c r="AZ53" s="779"/>
      <c r="BA53" s="779"/>
      <c r="BB53" s="783"/>
      <c r="BC53" s="1261"/>
      <c r="BE53" s="69"/>
      <c r="BF53" s="69"/>
      <c r="BG53" s="69"/>
      <c r="BH53" s="69"/>
    </row>
    <row r="54" spans="1:60" ht="11.25" customHeight="1">
      <c r="A54" s="759" t="s">
        <v>245</v>
      </c>
      <c r="B54" s="759"/>
      <c r="C54" s="759"/>
      <c r="D54" s="759"/>
      <c r="E54" s="1266"/>
      <c r="F54" s="1266"/>
      <c r="G54" s="1266"/>
      <c r="H54" s="1266"/>
      <c r="I54" s="1286"/>
      <c r="J54" s="1286"/>
      <c r="K54" s="1263"/>
      <c r="L54" s="760"/>
      <c r="P54" s="1264"/>
      <c r="Q54" s="1264"/>
      <c r="R54" s="207"/>
      <c r="S54" s="1323"/>
      <c r="T54" s="1342"/>
      <c r="U54" s="169"/>
      <c r="V54" s="779"/>
      <c r="W54" s="809"/>
      <c r="X54" s="779"/>
      <c r="Y54" s="809"/>
      <c r="Z54" s="779"/>
      <c r="AA54" s="779"/>
      <c r="AB54" s="779"/>
      <c r="AC54" s="779"/>
      <c r="AD54" s="1204"/>
      <c r="AE54" s="1308"/>
      <c r="AF54" s="1220"/>
      <c r="AG54" s="1345"/>
      <c r="AH54" s="1127"/>
      <c r="AI54" s="1308"/>
      <c r="AJ54" s="1220"/>
      <c r="AK54" s="1344"/>
      <c r="AL54" s="1127"/>
      <c r="AM54" s="182"/>
      <c r="AN54" s="813"/>
      <c r="AO54" s="813" t="s">
        <v>502</v>
      </c>
      <c r="AP54" s="53"/>
      <c r="AQ54" s="53"/>
      <c r="AR54" s="53"/>
      <c r="AS54" s="779"/>
      <c r="AT54" s="779"/>
      <c r="AU54" s="809"/>
      <c r="AV54" s="779"/>
      <c r="AW54" s="809"/>
      <c r="AX54" s="779"/>
      <c r="AY54" s="779"/>
      <c r="AZ54" s="779"/>
      <c r="BA54" s="779"/>
      <c r="BB54" s="783"/>
      <c r="BC54" s="1261"/>
      <c r="BE54" s="69"/>
      <c r="BF54" s="69"/>
      <c r="BG54" s="69"/>
      <c r="BH54" s="69"/>
    </row>
    <row r="55" spans="1:60" ht="11.25" customHeight="1">
      <c r="A55" s="759" t="s">
        <v>245</v>
      </c>
      <c r="B55" s="759"/>
      <c r="C55" s="759"/>
      <c r="D55" s="759"/>
      <c r="E55" s="1266"/>
      <c r="F55" s="1266"/>
      <c r="G55" s="1266"/>
      <c r="H55" s="1266"/>
      <c r="I55" s="1286"/>
      <c r="J55" s="1286"/>
      <c r="K55" s="1263"/>
      <c r="L55" s="760"/>
      <c r="P55" s="1264"/>
      <c r="Q55" s="1264"/>
      <c r="R55" s="207"/>
      <c r="S55" s="1323"/>
      <c r="T55" s="1342"/>
      <c r="U55" s="169"/>
      <c r="V55" s="779"/>
      <c r="W55" s="809"/>
      <c r="X55" s="779"/>
      <c r="Y55" s="809"/>
      <c r="Z55" s="779"/>
      <c r="AA55" s="779"/>
      <c r="AB55" s="779"/>
      <c r="AC55" s="779"/>
      <c r="AD55" s="1204"/>
      <c r="AE55" s="1308"/>
      <c r="AF55" s="1220"/>
      <c r="AG55" s="1345"/>
      <c r="AH55" s="1127"/>
      <c r="AI55" s="167"/>
      <c r="AJ55" s="108"/>
      <c r="AK55" s="180" t="s">
        <v>503</v>
      </c>
      <c r="AL55" s="779"/>
      <c r="AM55" s="779"/>
      <c r="AN55" s="779"/>
      <c r="AO55" s="779"/>
      <c r="AP55" s="779"/>
      <c r="AQ55" s="779"/>
      <c r="AR55" s="779"/>
      <c r="AS55" s="779"/>
      <c r="AT55" s="779"/>
      <c r="AU55" s="809"/>
      <c r="AV55" s="779"/>
      <c r="AW55" s="809"/>
      <c r="AX55" s="779"/>
      <c r="AY55" s="779"/>
      <c r="AZ55" s="779"/>
      <c r="BA55" s="779"/>
      <c r="BB55" s="783"/>
      <c r="BC55" s="1261"/>
      <c r="BE55" s="69"/>
      <c r="BF55" s="69"/>
      <c r="BG55" s="69"/>
      <c r="BH55" s="69"/>
    </row>
    <row r="56" spans="1:60" ht="11.25" customHeight="1">
      <c r="A56" s="759" t="s">
        <v>245</v>
      </c>
      <c r="B56" s="759" t="s">
        <v>246</v>
      </c>
      <c r="C56" s="759" t="s">
        <v>247</v>
      </c>
      <c r="D56" s="759" t="s">
        <v>514</v>
      </c>
      <c r="E56" s="1266"/>
      <c r="F56" s="1266"/>
      <c r="G56" s="1266"/>
      <c r="H56" s="1266"/>
      <c r="I56" s="1286"/>
      <c r="J56" s="1286"/>
      <c r="K56" s="1263"/>
      <c r="L56" s="760"/>
      <c r="P56" s="1264"/>
      <c r="Q56" s="1264"/>
      <c r="R56" s="207"/>
      <c r="S56" s="1324"/>
      <c r="T56" s="1343"/>
      <c r="U56" s="169"/>
      <c r="V56" s="779"/>
      <c r="W56" s="780" t="str">
        <f>Z52&amp;"-"&amp;AB52</f>
        <v>-</v>
      </c>
      <c r="X56" s="779"/>
      <c r="Y56" s="780" t="str">
        <f>AB52&amp;"-"&amp;AD52</f>
        <v>-да</v>
      </c>
      <c r="Z56" s="779"/>
      <c r="AA56" s="779"/>
      <c r="AB56" s="779"/>
      <c r="AC56" s="779"/>
      <c r="AD56" s="1132"/>
      <c r="AE56" s="179"/>
      <c r="AF56" s="181"/>
      <c r="AG56" s="53" t="s">
        <v>504</v>
      </c>
      <c r="AH56" s="779"/>
      <c r="AI56" s="779"/>
      <c r="AJ56" s="779"/>
      <c r="AK56" s="779"/>
      <c r="AL56" s="779"/>
      <c r="AM56" s="779"/>
      <c r="AN56" s="779"/>
      <c r="AO56" s="779"/>
      <c r="AP56" s="779"/>
      <c r="AQ56" s="779"/>
      <c r="AR56" s="779"/>
      <c r="AS56" s="779"/>
      <c r="AT56" s="779"/>
      <c r="AU56" s="780" t="str">
        <f>AX52&amp;"-"&amp;AZ52</f>
        <v>-</v>
      </c>
      <c r="AV56" s="779"/>
      <c r="AW56" s="780" t="str">
        <f>AZ52&amp;"-"&amp;BB52</f>
        <v>-</v>
      </c>
      <c r="AX56" s="779"/>
      <c r="AY56" s="779"/>
      <c r="AZ56" s="779"/>
      <c r="BA56" s="779"/>
      <c r="BB56" s="782" t="str">
        <f>BE52&amp;"-"&amp;BG52</f>
        <v>-</v>
      </c>
      <c r="BC56" s="1261"/>
      <c r="BE56" s="69"/>
      <c r="BF56" s="69" t="str">
        <f t="shared" ref="BF56:BF63" si="4">IF(T56="","",T56)</f>
        <v/>
      </c>
      <c r="BG56" s="69"/>
      <c r="BH56" s="69"/>
    </row>
    <row r="57" spans="1:60" ht="11.25" customHeight="1">
      <c r="A57" s="759" t="s">
        <v>245</v>
      </c>
      <c r="B57" s="759" t="s">
        <v>246</v>
      </c>
      <c r="C57" s="759" t="s">
        <v>247</v>
      </c>
      <c r="D57" s="759" t="s">
        <v>514</v>
      </c>
      <c r="E57" s="1266"/>
      <c r="F57" s="1266"/>
      <c r="G57" s="1266"/>
      <c r="H57" s="1266"/>
      <c r="I57" s="1286"/>
      <c r="J57" s="1263"/>
      <c r="K57" s="759"/>
      <c r="L57" s="760"/>
      <c r="P57" s="1264"/>
      <c r="Q57" s="1264"/>
      <c r="R57" s="206"/>
      <c r="S57" s="732"/>
      <c r="T57" s="164" t="s">
        <v>467</v>
      </c>
      <c r="U57" s="211"/>
      <c r="V57" s="211"/>
      <c r="W57" s="211"/>
      <c r="X57" s="211"/>
      <c r="Y57" s="211"/>
      <c r="Z57" s="211"/>
      <c r="AA57" s="211"/>
      <c r="AB57" s="211"/>
      <c r="AC57" s="188"/>
      <c r="AD57" s="817"/>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188"/>
      <c r="BC57" s="1262"/>
      <c r="BE57" s="69"/>
      <c r="BF57" s="69" t="str">
        <f t="shared" si="4"/>
        <v>Добавить строку</v>
      </c>
      <c r="BG57" s="69"/>
      <c r="BH57" s="69"/>
    </row>
    <row r="58" spans="1:60" s="68" customFormat="1" ht="0" hidden="1" customHeight="1">
      <c r="A58" s="143" t="s">
        <v>245</v>
      </c>
      <c r="B58" s="143" t="s">
        <v>246</v>
      </c>
      <c r="C58" s="143" t="s">
        <v>247</v>
      </c>
      <c r="D58" s="143" t="s">
        <v>514</v>
      </c>
      <c r="E58" s="1266"/>
      <c r="F58" s="1266"/>
      <c r="G58" s="1266"/>
      <c r="H58" s="1266"/>
      <c r="I58" s="1263"/>
      <c r="J58" s="143"/>
      <c r="K58" s="143"/>
      <c r="L58" s="338"/>
      <c r="M58" s="288"/>
      <c r="N58" s="288"/>
      <c r="O58" s="288"/>
      <c r="P58" s="1264"/>
      <c r="Q58" s="120"/>
      <c r="R58" s="206"/>
      <c r="S58" s="772"/>
      <c r="T58" s="773"/>
      <c r="U58" s="774"/>
      <c r="V58" s="774"/>
      <c r="W58" s="774"/>
      <c r="X58" s="774"/>
      <c r="Y58" s="774"/>
      <c r="Z58" s="774"/>
      <c r="AA58" s="774"/>
      <c r="AB58" s="774"/>
      <c r="AC58" s="774"/>
      <c r="AD58" s="774"/>
      <c r="AE58" s="774"/>
      <c r="AF58" s="774"/>
      <c r="AG58" s="774"/>
      <c r="AH58" s="774"/>
      <c r="AI58" s="774"/>
      <c r="AJ58" s="774"/>
      <c r="AK58" s="774"/>
      <c r="AL58" s="774"/>
      <c r="AM58" s="774"/>
      <c r="AN58" s="774"/>
      <c r="AO58" s="774"/>
      <c r="AP58" s="774"/>
      <c r="AQ58" s="774"/>
      <c r="AR58" s="774"/>
      <c r="AS58" s="774"/>
      <c r="AT58" s="774"/>
      <c r="AU58" s="774"/>
      <c r="AV58" s="774"/>
      <c r="AW58" s="774"/>
      <c r="AX58" s="774"/>
      <c r="AY58" s="774"/>
      <c r="AZ58" s="774"/>
      <c r="BA58" s="774"/>
      <c r="BB58" s="774"/>
      <c r="BC58" s="775"/>
      <c r="BE58" s="69"/>
      <c r="BF58" s="69" t="str">
        <f t="shared" si="4"/>
        <v/>
      </c>
      <c r="BG58" s="69"/>
      <c r="BH58" s="69"/>
    </row>
    <row r="59" spans="1:60" s="68" customFormat="1" ht="0" hidden="1" customHeight="1">
      <c r="A59" s="143" t="s">
        <v>245</v>
      </c>
      <c r="B59" s="143" t="s">
        <v>246</v>
      </c>
      <c r="C59" s="143" t="s">
        <v>247</v>
      </c>
      <c r="D59" s="143" t="s">
        <v>514</v>
      </c>
      <c r="E59" s="1266"/>
      <c r="F59" s="1266"/>
      <c r="G59" s="1266"/>
      <c r="H59" s="1265"/>
      <c r="I59" s="143"/>
      <c r="J59" s="143"/>
      <c r="K59" s="143"/>
      <c r="L59" s="338"/>
      <c r="M59" s="291"/>
      <c r="N59" s="291"/>
      <c r="P59" s="102"/>
      <c r="Q59" s="745"/>
      <c r="R59" s="786"/>
      <c r="S59" s="772"/>
      <c r="T59" s="773"/>
      <c r="U59" s="774"/>
      <c r="V59" s="774"/>
      <c r="W59" s="774"/>
      <c r="X59" s="774"/>
      <c r="Y59" s="774"/>
      <c r="Z59" s="774"/>
      <c r="AA59" s="774"/>
      <c r="AB59" s="774"/>
      <c r="AC59" s="774"/>
      <c r="AD59" s="774"/>
      <c r="AE59" s="774"/>
      <c r="AF59" s="774"/>
      <c r="AG59" s="774"/>
      <c r="AH59" s="774"/>
      <c r="AI59" s="774"/>
      <c r="AJ59" s="774"/>
      <c r="AK59" s="774"/>
      <c r="AL59" s="774"/>
      <c r="AM59" s="774"/>
      <c r="AN59" s="774"/>
      <c r="AO59" s="774"/>
      <c r="AP59" s="774"/>
      <c r="AQ59" s="774"/>
      <c r="AR59" s="774"/>
      <c r="AS59" s="774"/>
      <c r="AT59" s="774"/>
      <c r="AU59" s="774"/>
      <c r="AV59" s="774"/>
      <c r="AW59" s="774"/>
      <c r="AX59" s="774"/>
      <c r="AY59" s="774"/>
      <c r="AZ59" s="774"/>
      <c r="BA59" s="774"/>
      <c r="BB59" s="774"/>
      <c r="BC59" s="775"/>
      <c r="BE59" s="69"/>
      <c r="BF59" s="69" t="str">
        <f t="shared" si="4"/>
        <v/>
      </c>
      <c r="BG59" s="69"/>
      <c r="BH59" s="69"/>
    </row>
    <row r="60" spans="1:60" s="68" customFormat="1" ht="0" hidden="1" customHeight="1">
      <c r="A60" s="143" t="s">
        <v>245</v>
      </c>
      <c r="B60" s="143" t="s">
        <v>246</v>
      </c>
      <c r="C60" s="143" t="s">
        <v>247</v>
      </c>
      <c r="D60" s="143"/>
      <c r="E60" s="1266"/>
      <c r="F60" s="1266"/>
      <c r="G60" s="1265"/>
      <c r="H60" s="143"/>
      <c r="I60" s="143"/>
      <c r="J60" s="143"/>
      <c r="K60" s="143"/>
      <c r="L60" s="338"/>
      <c r="M60" s="291"/>
      <c r="N60" s="291"/>
      <c r="P60" s="102"/>
      <c r="Q60" s="745"/>
      <c r="R60" s="102"/>
      <c r="S60" s="750"/>
      <c r="T60" s="752"/>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1"/>
      <c r="AY60" s="311"/>
      <c r="AZ60" s="311"/>
      <c r="BA60" s="311"/>
      <c r="BB60" s="311"/>
      <c r="BC60" s="311"/>
      <c r="BE60" s="69"/>
      <c r="BF60" s="69" t="str">
        <f t="shared" si="4"/>
        <v/>
      </c>
      <c r="BG60" s="69"/>
      <c r="BH60" s="69"/>
    </row>
    <row r="61" spans="1:60" s="68" customFormat="1" ht="0" hidden="1" customHeight="1">
      <c r="A61" s="143" t="s">
        <v>245</v>
      </c>
      <c r="B61" s="143" t="s">
        <v>246</v>
      </c>
      <c r="C61" s="143"/>
      <c r="D61" s="143"/>
      <c r="E61" s="1266"/>
      <c r="F61" s="1265"/>
      <c r="G61" s="143"/>
      <c r="H61" s="143"/>
      <c r="I61" s="143"/>
      <c r="J61" s="143"/>
      <c r="K61" s="143"/>
      <c r="L61" s="338"/>
      <c r="M61" s="749"/>
      <c r="N61" s="749"/>
      <c r="P61" s="102"/>
      <c r="Q61" s="745"/>
      <c r="R61" s="102"/>
      <c r="S61" s="750"/>
      <c r="T61" s="752" t="s">
        <v>414</v>
      </c>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c r="AY61" s="311"/>
      <c r="AZ61" s="311"/>
      <c r="BA61" s="311"/>
      <c r="BB61" s="311"/>
      <c r="BC61" s="311"/>
      <c r="BE61" s="69"/>
      <c r="BF61" s="69" t="str">
        <f t="shared" si="4"/>
        <v>Добавить централизованную систему для дифференциации</v>
      </c>
      <c r="BG61" s="69"/>
      <c r="BH61" s="69"/>
    </row>
    <row r="62" spans="1:60" s="68" customFormat="1" ht="0" hidden="1" customHeight="1">
      <c r="A62" s="143" t="s">
        <v>245</v>
      </c>
      <c r="B62" s="143"/>
      <c r="C62" s="143"/>
      <c r="D62" s="143"/>
      <c r="E62" s="1265"/>
      <c r="F62" s="143"/>
      <c r="G62" s="143"/>
      <c r="H62" s="143"/>
      <c r="I62" s="143"/>
      <c r="J62" s="143"/>
      <c r="K62" s="143"/>
      <c r="L62" s="338"/>
      <c r="M62" s="749"/>
      <c r="N62" s="749"/>
      <c r="P62" s="102"/>
      <c r="Q62" s="745"/>
      <c r="R62" s="102"/>
      <c r="S62" s="750"/>
      <c r="T62" s="752" t="s">
        <v>415</v>
      </c>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A62" s="311"/>
      <c r="BB62" s="311"/>
      <c r="BC62" s="311"/>
      <c r="BE62" s="69"/>
      <c r="BF62" s="69" t="str">
        <f t="shared" si="4"/>
        <v>Добавить территорию для дифференциации</v>
      </c>
      <c r="BG62" s="69"/>
      <c r="BH62" s="69"/>
    </row>
    <row r="63" spans="1:60" s="68" customFormat="1" ht="0" hidden="1" customHeight="1">
      <c r="A63" s="143"/>
      <c r="B63" s="143"/>
      <c r="C63" s="143"/>
      <c r="D63" s="143"/>
      <c r="E63" s="143"/>
      <c r="F63" s="143"/>
      <c r="G63" s="143"/>
      <c r="H63" s="143"/>
      <c r="I63" s="143"/>
      <c r="J63" s="143"/>
      <c r="K63" s="143"/>
      <c r="L63" s="338"/>
      <c r="M63" s="749"/>
      <c r="N63" s="749"/>
      <c r="P63" s="102"/>
      <c r="Q63" s="745"/>
      <c r="R63" s="102"/>
      <c r="S63" s="750"/>
      <c r="T63" s="752" t="s">
        <v>447</v>
      </c>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311"/>
      <c r="BA63" s="311"/>
      <c r="BB63" s="311"/>
      <c r="BC63" s="311"/>
      <c r="BE63" s="69"/>
      <c r="BF63" s="69" t="str">
        <f t="shared" si="4"/>
        <v>Добавить наименование тарифа</v>
      </c>
      <c r="BG63" s="69"/>
      <c r="BH63" s="69"/>
    </row>
    <row r="64" spans="1:60" ht="11.25" customHeight="1">
      <c r="M64" s="63"/>
      <c r="N64" s="63"/>
      <c r="O64" s="63"/>
      <c r="P64" s="63"/>
      <c r="Q64" s="63"/>
      <c r="R64" s="12"/>
      <c r="S64" s="12"/>
      <c r="BD64" s="12"/>
      <c r="BE64" s="12"/>
      <c r="BF64" s="12"/>
      <c r="BG64" s="12"/>
      <c r="BH64" s="12"/>
    </row>
    <row r="65" spans="15:55" ht="18.75" customHeight="1">
      <c r="O65" s="63"/>
      <c r="S65" s="196"/>
      <c r="T65" s="1285"/>
      <c r="U65" s="1285"/>
      <c r="V65" s="1285"/>
      <c r="W65" s="1285"/>
      <c r="X65" s="1285"/>
      <c r="Y65" s="1285"/>
      <c r="Z65" s="1285"/>
      <c r="AA65" s="1285"/>
      <c r="AB65" s="1285"/>
      <c r="AC65" s="1285"/>
      <c r="AD65" s="1285"/>
      <c r="AE65" s="1285"/>
      <c r="AF65" s="1285"/>
      <c r="AG65" s="1285"/>
      <c r="AH65" s="1285"/>
      <c r="AI65" s="1285"/>
      <c r="AJ65" s="1285"/>
      <c r="AK65" s="1285"/>
      <c r="AL65" s="1285"/>
      <c r="AM65" s="1285"/>
      <c r="AN65" s="1285"/>
      <c r="AO65" s="1285"/>
      <c r="AP65" s="1285"/>
      <c r="AQ65" s="1285"/>
      <c r="AR65" s="1285"/>
      <c r="AS65" s="1285"/>
      <c r="AT65" s="1285"/>
      <c r="AU65" s="1285"/>
      <c r="AV65" s="1285"/>
      <c r="AW65" s="1285"/>
      <c r="AX65" s="1285"/>
      <c r="AY65" s="1285"/>
      <c r="AZ65" s="1285"/>
      <c r="BA65" s="1285"/>
      <c r="BB65" s="1285"/>
      <c r="BC65" s="1285"/>
    </row>
    <row r="66" spans="15:55" ht="14.25" customHeight="1">
      <c r="O66" s="63"/>
      <c r="T66" s="364"/>
      <c r="U66" s="364"/>
      <c r="V66" s="364"/>
      <c r="W66" s="364"/>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4"/>
      <c r="AZ66" s="364"/>
      <c r="BA66" s="364"/>
      <c r="BB66" s="364"/>
      <c r="BC66" s="364"/>
    </row>
    <row r="67" spans="15:55" ht="18.75" customHeight="1">
      <c r="O67" s="63"/>
      <c r="S67" s="196"/>
      <c r="T67" s="1285"/>
      <c r="U67" s="1285"/>
      <c r="V67" s="1285"/>
      <c r="W67" s="1285"/>
      <c r="X67" s="1285"/>
      <c r="Y67" s="1285"/>
      <c r="Z67" s="1285"/>
      <c r="AA67" s="1285"/>
      <c r="AB67" s="1285"/>
      <c r="AC67" s="1285"/>
      <c r="AD67" s="1285"/>
      <c r="AE67" s="1285"/>
      <c r="AF67" s="1285"/>
      <c r="AG67" s="1285"/>
      <c r="AH67" s="1285"/>
      <c r="AI67" s="1285"/>
      <c r="AJ67" s="1285"/>
      <c r="AK67" s="1285"/>
      <c r="AL67" s="1285"/>
      <c r="AM67" s="1285"/>
      <c r="AN67" s="1285"/>
      <c r="AO67" s="1285"/>
      <c r="AP67" s="1285"/>
      <c r="AQ67" s="1285"/>
      <c r="AR67" s="1285"/>
      <c r="AS67" s="1285"/>
      <c r="AT67" s="1285"/>
      <c r="AU67" s="1285"/>
      <c r="AV67" s="1285"/>
      <c r="AW67" s="1285"/>
      <c r="AX67" s="1285"/>
      <c r="AY67" s="1285"/>
      <c r="AZ67" s="1285"/>
      <c r="BA67" s="1285"/>
      <c r="BB67" s="1285"/>
      <c r="BC67" s="1285"/>
    </row>
    <row r="68" spans="15:55" ht="14.25" customHeight="1">
      <c r="O68" s="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A2115-F504-3225-77D7-F4743C5B1E1A}">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299" hidden="1" customWidth="1"/>
    <col min="13" max="14" width="12.28515625" style="497" hidden="1" customWidth="1"/>
    <col min="15" max="15" width="23.42578125" style="497" hidden="1" customWidth="1"/>
    <col min="16" max="16" width="3.7109375" style="34" customWidth="1"/>
    <col min="17" max="18" width="3.7109375" style="30" customWidth="1"/>
    <col min="19" max="19" width="12.7109375" style="334" customWidth="1"/>
    <col min="20" max="20" width="35.7109375" style="12" customWidth="1"/>
    <col min="21" max="21" width="0.140625" style="12" customWidth="1"/>
    <col min="22" max="24" width="24.7109375" style="12" hidden="1" customWidth="1"/>
    <col min="25" max="25" width="11.7109375" style="12" hidden="1" customWidth="1"/>
    <col min="26" max="26" width="3.7109375" style="12" hidden="1" customWidth="1"/>
    <col min="27" max="27" width="11.7109375" style="12" hidden="1" customWidth="1"/>
    <col min="28" max="28" width="8.5703125" style="12" hidden="1" customWidth="1"/>
    <col min="29" max="31" width="24.7109375" style="12" customWidth="1"/>
    <col min="32" max="32" width="11.7109375" style="12" customWidth="1"/>
    <col min="33" max="33" width="3.7109375" style="12" customWidth="1"/>
    <col min="34" max="34" width="11.7109375" style="12" customWidth="1"/>
    <col min="35" max="35" width="8.5703125" style="12" hidden="1" customWidth="1"/>
    <col min="36" max="36" width="4.7109375" style="12" customWidth="1"/>
    <col min="37" max="37" width="115.7109375" style="12" customWidth="1"/>
    <col min="38" max="39" width="10.5703125" style="68"/>
    <col min="40" max="40" width="11.140625" style="68" customWidth="1"/>
    <col min="41" max="42" width="10.5703125" style="68"/>
  </cols>
  <sheetData>
    <row r="1" spans="1:42" ht="14.25" hidden="1" customHeight="1"/>
    <row r="2" spans="1:42" ht="23.25" hidden="1" customHeight="1">
      <c r="A2" s="759"/>
      <c r="B2" s="759"/>
      <c r="C2" s="759"/>
      <c r="D2" s="759"/>
      <c r="E2" s="1265">
        <v>1</v>
      </c>
      <c r="F2" s="759"/>
      <c r="G2" s="759"/>
      <c r="H2" s="759"/>
      <c r="I2" s="759"/>
      <c r="J2" s="759"/>
      <c r="K2" s="759"/>
      <c r="L2" s="760"/>
      <c r="M2" s="417"/>
      <c r="N2" s="417"/>
      <c r="O2" s="417"/>
      <c r="Q2" s="35"/>
      <c r="R2" s="205"/>
      <c r="S2" s="698" t="e">
        <f>INDEX(PT_DIFFERENTIATION_NUM_NTAR,MATCH(A2,PT_DIFFERENTIATION_NTAR_ID,0))</f>
        <v>#N/A</v>
      </c>
      <c r="T2" s="67" t="s">
        <v>124</v>
      </c>
      <c r="U2" s="169"/>
      <c r="V2" s="1251"/>
      <c r="W2" s="1252"/>
      <c r="X2" s="1252"/>
      <c r="Y2" s="1252"/>
      <c r="Z2" s="1252"/>
      <c r="AA2" s="1252"/>
      <c r="AB2" s="1253"/>
      <c r="AC2" s="1251" t="e">
        <f>INDEX(PT_DIFFERENTIATION_NTAR,MATCH(A2,PT_DIFFERENTIATION_NTAR_ID,0))</f>
        <v>#N/A</v>
      </c>
      <c r="AD2" s="1252"/>
      <c r="AE2" s="1252"/>
      <c r="AF2" s="1252"/>
      <c r="AG2" s="1252"/>
      <c r="AH2" s="1252"/>
      <c r="AI2" s="1252"/>
      <c r="AJ2" s="1253"/>
      <c r="AK2"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row>
    <row r="3" spans="1:42" ht="23.25" hidden="1" customHeight="1">
      <c r="A3" s="759"/>
      <c r="B3" s="759"/>
      <c r="C3" s="759"/>
      <c r="D3" s="759"/>
      <c r="E3" s="1266"/>
      <c r="F3" s="1265">
        <v>1</v>
      </c>
      <c r="G3" s="759"/>
      <c r="H3" s="759"/>
      <c r="I3" s="759"/>
      <c r="J3" s="759"/>
      <c r="K3" s="759"/>
      <c r="L3" s="760"/>
      <c r="M3" s="417"/>
      <c r="N3" s="417"/>
      <c r="O3" s="417"/>
      <c r="P3" s="59"/>
      <c r="Q3" s="202"/>
      <c r="R3" s="203"/>
      <c r="S3" s="698" t="e">
        <f>INDEX(PT_DIFFERENTIATION_NUM_TER,MATCH(B3,PT_DIFFERENTIATION_TER_ID,0))</f>
        <v>#N/A</v>
      </c>
      <c r="T3" s="175" t="s">
        <v>396</v>
      </c>
      <c r="U3" s="169"/>
      <c r="V3" s="1251"/>
      <c r="W3" s="1252"/>
      <c r="X3" s="1252"/>
      <c r="Y3" s="1252"/>
      <c r="Z3" s="1252"/>
      <c r="AA3" s="1252"/>
      <c r="AB3" s="1253"/>
      <c r="AC3" s="1251" t="e">
        <f>INDEX(PT_DIFFERENTIATION_TER,MATCH(B3,PT_DIFFERENTIATION_TER_ID,0))</f>
        <v>#N/A</v>
      </c>
      <c r="AD3" s="1252"/>
      <c r="AE3" s="1252"/>
      <c r="AF3" s="1252"/>
      <c r="AG3" s="1252"/>
      <c r="AH3" s="1252"/>
      <c r="AI3" s="1252"/>
      <c r="AJ3" s="1253"/>
      <c r="AK3" s="718" t="s">
        <v>397</v>
      </c>
      <c r="AM3" s="69"/>
      <c r="AN3" s="69" t="str">
        <f t="shared" si="0"/>
        <v>Территория действия тарифа</v>
      </c>
      <c r="AO3" s="69"/>
      <c r="AP3" s="69"/>
    </row>
    <row r="4" spans="1:42" ht="23.25" hidden="1" customHeight="1">
      <c r="A4" s="759"/>
      <c r="B4" s="759"/>
      <c r="C4" s="759"/>
      <c r="D4" s="759"/>
      <c r="E4" s="1266"/>
      <c r="F4" s="1266"/>
      <c r="G4" s="1265">
        <v>1</v>
      </c>
      <c r="H4" s="759"/>
      <c r="I4" s="759"/>
      <c r="J4" s="759"/>
      <c r="K4" s="759"/>
      <c r="L4" s="760"/>
      <c r="M4" s="417"/>
      <c r="N4" s="417"/>
      <c r="O4" s="417"/>
      <c r="P4" s="204"/>
      <c r="Q4" s="202"/>
      <c r="R4" s="203"/>
      <c r="S4" s="698" t="e">
        <f>INDEX(PT_DIFFERENTIATION_NUM_CS,MATCH(C4,PT_DIFFERENTIATION_CS_ID,0))</f>
        <v>#N/A</v>
      </c>
      <c r="T4" s="176" t="s">
        <v>515</v>
      </c>
      <c r="U4" s="169"/>
      <c r="V4" s="1251"/>
      <c r="W4" s="1252"/>
      <c r="X4" s="1252"/>
      <c r="Y4" s="1252"/>
      <c r="Z4" s="1252"/>
      <c r="AA4" s="1252"/>
      <c r="AB4" s="1253"/>
      <c r="AC4" s="1251" t="e">
        <f>INDEX(PT_DIFFERENTIATION_CS,MATCH(C4,PT_DIFFERENTIATION_CS_ID,0))</f>
        <v>#N/A</v>
      </c>
      <c r="AD4" s="1252"/>
      <c r="AE4" s="1252"/>
      <c r="AF4" s="1252"/>
      <c r="AG4" s="1252"/>
      <c r="AH4" s="1252"/>
      <c r="AI4" s="1252"/>
      <c r="AJ4" s="1253"/>
      <c r="AK4" s="718" t="s">
        <v>516</v>
      </c>
      <c r="AM4" s="69"/>
      <c r="AN4" s="69" t="str">
        <f t="shared" si="0"/>
        <v>Наименование централизованной системы водоотведения</v>
      </c>
      <c r="AO4" s="69"/>
      <c r="AP4" s="69"/>
    </row>
    <row r="5" spans="1:42" ht="23.25" hidden="1" customHeight="1">
      <c r="A5" s="759"/>
      <c r="B5" s="759"/>
      <c r="C5" s="759"/>
      <c r="D5" s="759"/>
      <c r="E5" s="1266"/>
      <c r="F5" s="1266"/>
      <c r="G5" s="1266"/>
      <c r="H5" s="1266"/>
      <c r="I5" s="1263" t="e">
        <f>S4&amp;".1"</f>
        <v>#N/A</v>
      </c>
      <c r="J5" s="759"/>
      <c r="K5" s="759"/>
      <c r="L5" s="760"/>
      <c r="P5" s="1264">
        <v>1</v>
      </c>
      <c r="Q5" s="120"/>
      <c r="R5" s="206"/>
      <c r="S5" s="698" t="e">
        <f>$I5</f>
        <v>#N/A</v>
      </c>
      <c r="T5" s="162" t="s">
        <v>482</v>
      </c>
      <c r="U5" s="169"/>
      <c r="V5" s="1331"/>
      <c r="W5" s="1332"/>
      <c r="X5" s="1332"/>
      <c r="Y5" s="1332"/>
      <c r="Z5" s="1332"/>
      <c r="AA5" s="1332"/>
      <c r="AB5" s="1333"/>
      <c r="AC5" s="1334"/>
      <c r="AD5" s="1335"/>
      <c r="AE5" s="1335"/>
      <c r="AF5" s="1335"/>
      <c r="AG5" s="1335"/>
      <c r="AH5" s="1335"/>
      <c r="AI5" s="1335"/>
      <c r="AJ5" s="1336"/>
      <c r="AK5" s="718" t="s">
        <v>483</v>
      </c>
      <c r="AM5" s="69"/>
      <c r="AN5" s="69" t="str">
        <f t="shared" si="0"/>
        <v>Наименование признака дифференциации</v>
      </c>
      <c r="AO5" s="69"/>
      <c r="AP5" s="69"/>
    </row>
    <row r="6" spans="1:42" ht="23.25" hidden="1" customHeight="1">
      <c r="A6" s="759"/>
      <c r="B6" s="759"/>
      <c r="C6" s="759"/>
      <c r="D6" s="759"/>
      <c r="E6" s="1266"/>
      <c r="F6" s="1266"/>
      <c r="G6" s="1266"/>
      <c r="H6" s="1266"/>
      <c r="I6" s="1286"/>
      <c r="J6" s="1263" t="e">
        <f>I5&amp;".1"</f>
        <v>#N/A</v>
      </c>
      <c r="K6" s="759"/>
      <c r="L6" s="760" t="s">
        <v>405</v>
      </c>
      <c r="P6" s="1264"/>
      <c r="Q6" s="1264">
        <v>1</v>
      </c>
      <c r="R6" s="207"/>
      <c r="S6" s="698" t="e">
        <f>$J6</f>
        <v>#N/A</v>
      </c>
      <c r="T6" s="163" t="s">
        <v>406</v>
      </c>
      <c r="U6" s="169"/>
      <c r="V6" s="1254"/>
      <c r="W6" s="1255"/>
      <c r="X6" s="1255"/>
      <c r="Y6" s="1255"/>
      <c r="Z6" s="1255"/>
      <c r="AA6" s="1255"/>
      <c r="AB6" s="1256"/>
      <c r="AC6" s="1254"/>
      <c r="AD6" s="1255"/>
      <c r="AE6" s="1255"/>
      <c r="AF6" s="1255"/>
      <c r="AG6" s="1255"/>
      <c r="AH6" s="1255"/>
      <c r="AI6" s="1255"/>
      <c r="AJ6" s="1256"/>
      <c r="AK6" s="743" t="s">
        <v>484</v>
      </c>
      <c r="AM6" s="69"/>
      <c r="AN6" s="69" t="str">
        <f t="shared" si="0"/>
        <v>Группа потребителей</v>
      </c>
      <c r="AO6" s="69"/>
      <c r="AP6" s="69"/>
    </row>
    <row r="7" spans="1:42" ht="23.25" hidden="1" customHeight="1">
      <c r="A7" s="759"/>
      <c r="B7" s="759"/>
      <c r="C7" s="759"/>
      <c r="D7" s="759"/>
      <c r="E7" s="1266"/>
      <c r="F7" s="1266"/>
      <c r="G7" s="1266"/>
      <c r="H7" s="1266"/>
      <c r="I7" s="1286"/>
      <c r="J7" s="1286"/>
      <c r="K7" s="1263" t="e">
        <f>J6&amp;".1"</f>
        <v>#N/A</v>
      </c>
      <c r="L7" s="760"/>
      <c r="P7" s="1264"/>
      <c r="Q7" s="1264"/>
      <c r="R7" s="207">
        <v>1</v>
      </c>
      <c r="S7" s="698" t="e">
        <f>$K7</f>
        <v>#N/A</v>
      </c>
      <c r="T7" s="802"/>
      <c r="U7" s="169"/>
      <c r="V7" s="304"/>
      <c r="W7" s="304"/>
      <c r="X7" s="717"/>
      <c r="Y7" s="1268"/>
      <c r="Z7" s="1127" t="s">
        <v>62</v>
      </c>
      <c r="AA7" s="1268"/>
      <c r="AB7" s="1127" t="s">
        <v>62</v>
      </c>
      <c r="AC7" s="304"/>
      <c r="AD7" s="304"/>
      <c r="AE7" s="717"/>
      <c r="AF7" s="1268"/>
      <c r="AG7" s="1127" t="s">
        <v>62</v>
      </c>
      <c r="AH7" s="1287"/>
      <c r="AI7" s="1127" t="s">
        <v>62</v>
      </c>
      <c r="AJ7" s="803"/>
      <c r="AK7" s="1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row>
    <row r="8" spans="1:42" ht="14.25" hidden="1" customHeight="1">
      <c r="A8" s="759"/>
      <c r="B8" s="759"/>
      <c r="C8" s="759"/>
      <c r="D8" s="759"/>
      <c r="E8" s="1266"/>
      <c r="F8" s="1266"/>
      <c r="G8" s="1266"/>
      <c r="H8" s="1266"/>
      <c r="I8" s="1286"/>
      <c r="J8" s="1286"/>
      <c r="K8" s="1263"/>
      <c r="L8" s="760"/>
      <c r="P8" s="1264"/>
      <c r="Q8" s="1264"/>
      <c r="R8" s="207"/>
      <c r="S8" s="65"/>
      <c r="T8" s="169"/>
      <c r="U8" s="169"/>
      <c r="V8" s="189"/>
      <c r="W8" s="189"/>
      <c r="X8" s="190" t="str">
        <f>Y7&amp;"-"&amp;AA7</f>
        <v>-</v>
      </c>
      <c r="Y8" s="1269"/>
      <c r="Z8" s="1127"/>
      <c r="AA8" s="1269"/>
      <c r="AB8" s="1127"/>
      <c r="AC8" s="189"/>
      <c r="AD8" s="189"/>
      <c r="AE8" s="190" t="str">
        <f>AF7&amp;"-"&amp;AH7</f>
        <v>-</v>
      </c>
      <c r="AF8" s="1269"/>
      <c r="AG8" s="1127"/>
      <c r="AH8" s="1288"/>
      <c r="AI8" s="1127"/>
      <c r="AJ8" s="379"/>
      <c r="AK8" s="1330"/>
      <c r="AM8" s="69"/>
      <c r="AN8" s="69" t="str">
        <f t="shared" si="0"/>
        <v/>
      </c>
      <c r="AO8" s="69"/>
      <c r="AP8" s="69"/>
    </row>
    <row r="9" spans="1:42" ht="21" hidden="1" customHeight="1">
      <c r="A9" s="759"/>
      <c r="B9" s="759"/>
      <c r="C9" s="759"/>
      <c r="D9" s="759"/>
      <c r="E9" s="1266"/>
      <c r="F9" s="1266"/>
      <c r="G9" s="1266"/>
      <c r="H9" s="1266"/>
      <c r="I9" s="1286"/>
      <c r="J9" s="1263"/>
      <c r="K9" s="759"/>
      <c r="L9" s="760"/>
      <c r="P9" s="1264"/>
      <c r="Q9" s="1264"/>
      <c r="R9" s="206"/>
      <c r="S9" s="732"/>
      <c r="T9" s="164" t="s">
        <v>485</v>
      </c>
      <c r="U9" s="211"/>
      <c r="V9" s="211"/>
      <c r="W9" s="211"/>
      <c r="X9" s="211"/>
      <c r="Y9" s="211"/>
      <c r="Z9" s="211"/>
      <c r="AA9" s="211"/>
      <c r="AB9" s="211"/>
      <c r="AC9" s="211"/>
      <c r="AD9" s="211"/>
      <c r="AE9" s="211"/>
      <c r="AF9" s="211"/>
      <c r="AG9" s="211"/>
      <c r="AH9" s="211"/>
      <c r="AI9" s="211"/>
      <c r="AJ9" s="211"/>
      <c r="AK9" s="718" t="s">
        <v>486</v>
      </c>
      <c r="AM9" s="69"/>
      <c r="AN9" s="69" t="str">
        <f t="shared" si="0"/>
        <v>Добавить значение признака дифференциации</v>
      </c>
      <c r="AO9" s="69"/>
      <c r="AP9" s="69"/>
    </row>
    <row r="10" spans="1:42" ht="21" hidden="1" customHeight="1">
      <c r="A10" s="759"/>
      <c r="B10" s="759"/>
      <c r="C10" s="759"/>
      <c r="D10" s="759"/>
      <c r="E10" s="1266"/>
      <c r="F10" s="1266"/>
      <c r="G10" s="1266"/>
      <c r="H10" s="1266"/>
      <c r="I10" s="1263"/>
      <c r="J10" s="759"/>
      <c r="K10" s="759"/>
      <c r="L10" s="760"/>
      <c r="P10" s="1264"/>
      <c r="Q10" s="120"/>
      <c r="R10" s="206"/>
      <c r="S10" s="732"/>
      <c r="T10" s="209" t="s">
        <v>411</v>
      </c>
      <c r="U10" s="211"/>
      <c r="V10" s="211"/>
      <c r="W10" s="211"/>
      <c r="X10" s="211"/>
      <c r="Y10" s="211"/>
      <c r="Z10" s="211"/>
      <c r="AA10" s="211"/>
      <c r="AB10" s="210"/>
      <c r="AC10" s="211"/>
      <c r="AD10" s="211"/>
      <c r="AE10" s="211"/>
      <c r="AF10" s="211"/>
      <c r="AG10" s="211"/>
      <c r="AH10" s="211"/>
      <c r="AI10" s="210"/>
      <c r="AJ10" s="211"/>
      <c r="AK10" s="804"/>
      <c r="AM10" s="69"/>
      <c r="AN10" s="69" t="str">
        <f t="shared" si="0"/>
        <v>Добавить группу потребителей</v>
      </c>
      <c r="AO10" s="69"/>
      <c r="AP10" s="69"/>
    </row>
    <row r="11" spans="1:42" ht="21" hidden="1" customHeight="1">
      <c r="A11" s="759"/>
      <c r="B11" s="759"/>
      <c r="C11" s="759"/>
      <c r="D11" s="759"/>
      <c r="E11" s="1266"/>
      <c r="F11" s="1266"/>
      <c r="G11" s="1266"/>
      <c r="H11" s="1265"/>
      <c r="I11" s="759"/>
      <c r="J11" s="759"/>
      <c r="K11" s="759"/>
      <c r="L11" s="760"/>
      <c r="M11" s="417"/>
      <c r="N11" s="417"/>
      <c r="O11" s="63"/>
      <c r="P11" s="35"/>
      <c r="Q11" s="214"/>
      <c r="R11" s="205"/>
      <c r="S11" s="732"/>
      <c r="T11" s="105" t="s">
        <v>487</v>
      </c>
      <c r="U11" s="211"/>
      <c r="V11" s="211"/>
      <c r="W11" s="211"/>
      <c r="X11" s="211"/>
      <c r="Y11" s="211"/>
      <c r="Z11" s="211"/>
      <c r="AA11" s="211"/>
      <c r="AB11" s="210"/>
      <c r="AC11" s="211"/>
      <c r="AD11" s="211"/>
      <c r="AE11" s="211"/>
      <c r="AF11" s="211"/>
      <c r="AG11" s="211"/>
      <c r="AH11" s="211"/>
      <c r="AI11" s="210"/>
      <c r="AJ11" s="211"/>
      <c r="AK11" s="172"/>
      <c r="AM11" s="69"/>
      <c r="AN11" s="69" t="str">
        <f t="shared" si="0"/>
        <v>Добавить наименование признака дифференциации</v>
      </c>
      <c r="AO11" s="69"/>
      <c r="AP11" s="69"/>
    </row>
    <row r="12" spans="1:42" s="68" customFormat="1" ht="14.25" hidden="1" customHeight="1">
      <c r="A12" s="143"/>
      <c r="B12" s="143"/>
      <c r="C12" s="143"/>
      <c r="D12" s="143"/>
      <c r="E12" s="1266"/>
      <c r="F12" s="1265"/>
      <c r="G12" s="143"/>
      <c r="H12" s="143"/>
      <c r="I12" s="143"/>
      <c r="J12" s="143"/>
      <c r="K12" s="143"/>
      <c r="L12" s="338"/>
      <c r="M12" s="749"/>
      <c r="N12" s="749"/>
      <c r="P12" s="102"/>
      <c r="Q12" s="745"/>
      <c r="R12" s="102"/>
      <c r="S12" s="750"/>
      <c r="T12" s="752" t="s">
        <v>414</v>
      </c>
      <c r="U12" s="311"/>
      <c r="V12" s="311"/>
      <c r="W12" s="311"/>
      <c r="X12" s="311"/>
      <c r="Y12" s="311"/>
      <c r="Z12" s="311"/>
      <c r="AA12" s="311"/>
      <c r="AB12" s="311"/>
      <c r="AC12" s="311"/>
      <c r="AD12" s="311"/>
      <c r="AE12" s="311"/>
      <c r="AF12" s="311"/>
      <c r="AG12" s="311"/>
      <c r="AH12" s="311"/>
      <c r="AI12" s="311"/>
      <c r="AJ12" s="311"/>
      <c r="AK12" s="311"/>
      <c r="AM12" s="69"/>
      <c r="AN12" s="69" t="str">
        <f t="shared" si="0"/>
        <v>Добавить централизованную систему для дифференциации</v>
      </c>
      <c r="AO12" s="69"/>
      <c r="AP12" s="69"/>
    </row>
    <row r="13" spans="1:42" s="68" customFormat="1" ht="14.25" hidden="1" customHeight="1">
      <c r="A13" s="143"/>
      <c r="B13" s="143"/>
      <c r="C13" s="143"/>
      <c r="D13" s="143"/>
      <c r="E13" s="1265"/>
      <c r="F13" s="143"/>
      <c r="G13" s="143"/>
      <c r="H13" s="143"/>
      <c r="I13" s="143"/>
      <c r="J13" s="143"/>
      <c r="K13" s="143"/>
      <c r="L13" s="338"/>
      <c r="M13" s="749"/>
      <c r="N13" s="749"/>
      <c r="P13" s="102"/>
      <c r="Q13" s="745"/>
      <c r="R13" s="102"/>
      <c r="S13" s="750"/>
      <c r="T13" s="752" t="s">
        <v>415</v>
      </c>
      <c r="U13" s="311"/>
      <c r="V13" s="311"/>
      <c r="W13" s="311"/>
      <c r="X13" s="311"/>
      <c r="Y13" s="311"/>
      <c r="Z13" s="311"/>
      <c r="AA13" s="311"/>
      <c r="AB13" s="311"/>
      <c r="AC13" s="311"/>
      <c r="AD13" s="311"/>
      <c r="AE13" s="311"/>
      <c r="AF13" s="311"/>
      <c r="AG13" s="311"/>
      <c r="AH13" s="311"/>
      <c r="AI13" s="311"/>
      <c r="AJ13" s="311"/>
      <c r="AK13" s="311"/>
      <c r="AM13" s="69"/>
      <c r="AN13" s="69" t="str">
        <f t="shared" si="0"/>
        <v>Добавить территорию для дифференциации</v>
      </c>
      <c r="AO13" s="69"/>
      <c r="AP13" s="69"/>
    </row>
    <row r="14" spans="1:42" ht="14.25" hidden="1" customHeight="1"/>
    <row r="15" spans="1:42" ht="14.25" hidden="1" customHeight="1">
      <c r="AC15" s="359"/>
      <c r="AD15" s="359"/>
      <c r="AE15" s="758"/>
      <c r="AF15" s="1270"/>
      <c r="AG15" s="1271" t="s">
        <v>62</v>
      </c>
      <c r="AH15" s="1270"/>
      <c r="AI15" s="1271" t="s">
        <v>62</v>
      </c>
    </row>
    <row r="16" spans="1:42" ht="14.25" hidden="1" customHeight="1">
      <c r="AC16" s="359"/>
      <c r="AD16" s="359"/>
      <c r="AE16" s="190" t="str">
        <f>AF15&amp;"-"&amp;AH15</f>
        <v>-</v>
      </c>
      <c r="AF16" s="1271"/>
      <c r="AG16" s="1271"/>
      <c r="AH16" s="1271"/>
      <c r="AI16" s="1271"/>
    </row>
    <row r="17" spans="1:42" ht="14.25" hidden="1" customHeight="1"/>
    <row r="18" spans="1:42" s="63" customFormat="1" ht="22.5" hidden="1" customHeight="1">
      <c r="L18" s="299"/>
      <c r="M18" s="497"/>
      <c r="N18" s="497"/>
      <c r="O18" s="761" t="s">
        <v>416</v>
      </c>
      <c r="P18" s="497"/>
      <c r="Q18" s="762"/>
      <c r="R18" s="762"/>
      <c r="S18" s="417"/>
      <c r="Y18" s="761"/>
      <c r="AA18" s="761"/>
      <c r="AF18" s="761"/>
      <c r="AH18" s="761"/>
      <c r="AL18" s="68"/>
      <c r="AM18" s="68"/>
      <c r="AN18" s="68"/>
      <c r="AO18" s="68"/>
      <c r="AP18" s="68"/>
    </row>
    <row r="19" spans="1:42" s="63" customFormat="1" ht="14.25" hidden="1" customHeight="1">
      <c r="L19" s="299"/>
      <c r="M19" s="497"/>
      <c r="N19" s="497"/>
      <c r="O19" s="497"/>
      <c r="P19" s="497"/>
      <c r="Q19" s="762"/>
      <c r="R19" s="762"/>
      <c r="S19" s="417"/>
      <c r="AL19" s="68"/>
      <c r="AM19" s="68"/>
      <c r="AN19" s="68"/>
      <c r="AO19" s="68"/>
      <c r="AP19" s="68"/>
    </row>
    <row r="20" spans="1:42" s="63" customFormat="1" ht="12" hidden="1" customHeight="1">
      <c r="L20" s="299"/>
      <c r="M20" s="497"/>
      <c r="N20" s="497"/>
      <c r="O20" s="760" t="s">
        <v>417</v>
      </c>
      <c r="P20" s="497"/>
      <c r="Q20" s="805"/>
      <c r="R20" s="805"/>
      <c r="S20" s="417"/>
      <c r="T20" s="63" t="s">
        <v>418</v>
      </c>
      <c r="Z20" s="81" t="s">
        <v>419</v>
      </c>
      <c r="AB20" s="81" t="s">
        <v>420</v>
      </c>
      <c r="AC20" s="63" t="s">
        <v>418</v>
      </c>
      <c r="AG20" s="81" t="s">
        <v>421</v>
      </c>
      <c r="AI20" s="81" t="s">
        <v>420</v>
      </c>
    </row>
    <row r="21" spans="1:42" ht="14.25" hidden="1" customHeight="1">
      <c r="O21" s="760"/>
    </row>
    <row r="22" spans="1:42" ht="14.25" hidden="1" customHeight="1">
      <c r="O22" s="760"/>
    </row>
    <row r="23" spans="1:42" ht="14.25" customHeight="1">
      <c r="Q23" s="29"/>
      <c r="R23" s="29"/>
      <c r="S23" s="729"/>
      <c r="T23" s="11"/>
      <c r="U23" s="11"/>
    </row>
    <row r="24" spans="1:42" ht="14.25" customHeight="1">
      <c r="Q24" s="29"/>
      <c r="R24" s="29"/>
      <c r="S24" s="1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49"/>
      <c r="U24" s="1249"/>
      <c r="V24" s="1249"/>
      <c r="W24" s="1249"/>
      <c r="X24" s="1249"/>
      <c r="Y24" s="1249"/>
      <c r="Z24" s="1249"/>
      <c r="AA24" s="1249"/>
      <c r="AB24" s="1249"/>
      <c r="AC24" s="1249"/>
      <c r="AD24" s="1249"/>
      <c r="AE24" s="1249"/>
      <c r="AF24" s="1249"/>
      <c r="AG24" s="1249"/>
      <c r="AH24" s="1249"/>
      <c r="AI24" s="60"/>
    </row>
    <row r="25" spans="1:42" ht="14.25" customHeight="1">
      <c r="Q25" s="29"/>
      <c r="R25" s="29"/>
      <c r="S25" s="1194" t="str">
        <f>IF(org=0,"Не определено",org)</f>
        <v>АО "ХТК"</v>
      </c>
      <c r="T25" s="1194"/>
      <c r="U25" s="1194"/>
      <c r="V25" s="1194"/>
      <c r="W25" s="1194"/>
      <c r="X25" s="1194"/>
      <c r="Y25" s="1194"/>
      <c r="Z25" s="1194"/>
      <c r="AA25" s="1194"/>
      <c r="AB25" s="1194"/>
      <c r="AC25" s="1194"/>
      <c r="AD25" s="1194"/>
      <c r="AE25" s="1194"/>
      <c r="AF25" s="1194"/>
      <c r="AG25" s="1194"/>
      <c r="AH25" s="1194"/>
      <c r="AI25" s="60"/>
    </row>
    <row r="26" spans="1:42" ht="14.25" hidden="1" customHeight="1">
      <c r="Q26" s="29"/>
      <c r="R26" s="29"/>
      <c r="S26" s="729"/>
      <c r="T26" s="11"/>
      <c r="U26" s="11"/>
      <c r="V26" s="187"/>
      <c r="W26" s="187"/>
      <c r="X26" s="187"/>
      <c r="Y26" s="187"/>
      <c r="Z26" s="187"/>
      <c r="AA26" s="187"/>
      <c r="AB26" s="187"/>
      <c r="AC26" s="187"/>
      <c r="AD26" s="187"/>
      <c r="AE26" s="187"/>
      <c r="AF26" s="187"/>
      <c r="AG26" s="187"/>
      <c r="AH26" s="187"/>
      <c r="AI26" s="187"/>
    </row>
    <row r="27" spans="1:42" s="36" customFormat="1" ht="25.5" hidden="1" customHeight="1">
      <c r="A27" s="81"/>
      <c r="B27" s="81"/>
      <c r="C27" s="81"/>
      <c r="D27" s="81"/>
      <c r="E27" s="81"/>
      <c r="F27" s="81"/>
      <c r="G27" s="81"/>
      <c r="H27" s="81"/>
      <c r="I27" s="81"/>
      <c r="J27" s="81"/>
      <c r="K27" s="81"/>
      <c r="L27" s="760"/>
      <c r="M27" s="81"/>
      <c r="N27" s="81"/>
      <c r="O27" s="81"/>
      <c r="S27" s="1257" t="s">
        <v>37</v>
      </c>
      <c r="T27" s="1257"/>
      <c r="U27" s="763"/>
      <c r="V27" s="1258" t="str">
        <f>IF(TITLE_NAME_OR_PR_CHANGE="",IF(TITLE_NAME_OR_PR="","",TITLE_NAME_OR_PR),TITLE_NAME_OR_PR_CHANGE)</f>
        <v/>
      </c>
      <c r="W27" s="1258"/>
      <c r="X27" s="1258"/>
      <c r="Y27" s="1258"/>
      <c r="Z27" s="1258"/>
      <c r="AA27" s="1258"/>
      <c r="AB27" s="12"/>
      <c r="AC27" s="1258" t="str">
        <f>IF(TITLE_NAME_OR_PR_CHANGE="",IF(TITLE_NAME_OR_PR="","",TITLE_NAME_OR_PR),TITLE_NAME_OR_PR_CHANGE)</f>
        <v/>
      </c>
      <c r="AD27" s="1258"/>
      <c r="AE27" s="1258"/>
      <c r="AF27" s="1258"/>
      <c r="AG27" s="1258"/>
      <c r="AH27" s="1258"/>
      <c r="AI27" s="12"/>
      <c r="AJ27" s="12"/>
      <c r="AK27" s="161"/>
      <c r="AL27" s="69"/>
      <c r="AM27" s="69"/>
      <c r="AN27" s="69"/>
      <c r="AO27" s="69"/>
      <c r="AP27" s="69"/>
    </row>
    <row r="28" spans="1:42" s="36" customFormat="1" ht="18.75" hidden="1" customHeight="1">
      <c r="A28" s="81"/>
      <c r="B28" s="81"/>
      <c r="C28" s="81"/>
      <c r="D28" s="81"/>
      <c r="E28" s="81"/>
      <c r="F28" s="81"/>
      <c r="G28" s="81"/>
      <c r="H28" s="81"/>
      <c r="I28" s="81"/>
      <c r="J28" s="81"/>
      <c r="K28" s="81"/>
      <c r="L28" s="760"/>
      <c r="M28" s="81"/>
      <c r="N28" s="81"/>
      <c r="O28" s="81"/>
      <c r="S28" s="1257" t="s">
        <v>422</v>
      </c>
      <c r="T28" s="1257"/>
      <c r="U28" s="763"/>
      <c r="V28" s="1267" t="str">
        <f>IF(TITLE_DATE_PR_CHANGE="",IF(TITLE_DATE_PR="","",TITLE_DATE_PR),TITLE_DATE_PR_CHANGE)</f>
        <v/>
      </c>
      <c r="W28" s="1267"/>
      <c r="X28" s="1267"/>
      <c r="Y28" s="1267"/>
      <c r="Z28" s="1267"/>
      <c r="AA28" s="1267"/>
      <c r="AB28" s="12"/>
      <c r="AC28" s="1267" t="str">
        <f>IF(TITLE_DATE_PR_CHANGE="",IF(TITLE_DATE_PR="","",TITLE_DATE_PR),TITLE_DATE_PR_CHANGE)</f>
        <v/>
      </c>
      <c r="AD28" s="1267"/>
      <c r="AE28" s="1267"/>
      <c r="AF28" s="1267"/>
      <c r="AG28" s="1267"/>
      <c r="AH28" s="1267"/>
      <c r="AI28" s="12"/>
      <c r="AJ28" s="12"/>
      <c r="AK28" s="161"/>
      <c r="AL28" s="69"/>
      <c r="AM28" s="69"/>
      <c r="AN28" s="69"/>
      <c r="AO28" s="69"/>
      <c r="AP28" s="69"/>
    </row>
    <row r="29" spans="1:42" s="36" customFormat="1" ht="18.75" hidden="1" customHeight="1">
      <c r="A29" s="81"/>
      <c r="B29" s="81"/>
      <c r="C29" s="81"/>
      <c r="D29" s="81"/>
      <c r="E29" s="81"/>
      <c r="F29" s="81"/>
      <c r="G29" s="81"/>
      <c r="H29" s="81"/>
      <c r="I29" s="81"/>
      <c r="J29" s="81"/>
      <c r="K29" s="81"/>
      <c r="L29" s="760"/>
      <c r="M29" s="81"/>
      <c r="N29" s="81"/>
      <c r="O29" s="81"/>
      <c r="S29" s="1257" t="s">
        <v>423</v>
      </c>
      <c r="T29" s="1257"/>
      <c r="U29" s="763"/>
      <c r="V29" s="1258" t="str">
        <f>IF(TITLE_NUMBER_PR_CHANGE="",IF(TITLE_NUMBER_PR="","",TITLE_NUMBER_PR),TITLE_NUMBER_PR_CHANGE)</f>
        <v/>
      </c>
      <c r="W29" s="1258"/>
      <c r="X29" s="1258"/>
      <c r="Y29" s="1258"/>
      <c r="Z29" s="1258"/>
      <c r="AA29" s="1258"/>
      <c r="AB29" s="12"/>
      <c r="AC29" s="1258" t="str">
        <f>IF(TITLE_NUMBER_PR_CHANGE="",IF(TITLE_NUMBER_PR="","",TITLE_NUMBER_PR),TITLE_NUMBER_PR_CHANGE)</f>
        <v/>
      </c>
      <c r="AD29" s="1258"/>
      <c r="AE29" s="1258"/>
      <c r="AF29" s="1258"/>
      <c r="AG29" s="1258"/>
      <c r="AH29" s="1258"/>
      <c r="AI29" s="12"/>
      <c r="AJ29" s="12"/>
      <c r="AK29" s="161"/>
      <c r="AL29" s="69"/>
      <c r="AM29" s="69"/>
      <c r="AN29" s="69"/>
      <c r="AO29" s="69"/>
      <c r="AP29" s="69"/>
    </row>
    <row r="30" spans="1:42" s="36" customFormat="1" ht="18.75" hidden="1" customHeight="1">
      <c r="A30" s="81"/>
      <c r="B30" s="81"/>
      <c r="C30" s="81"/>
      <c r="D30" s="81"/>
      <c r="E30" s="81"/>
      <c r="F30" s="81"/>
      <c r="G30" s="81"/>
      <c r="H30" s="81"/>
      <c r="I30" s="81"/>
      <c r="J30" s="81"/>
      <c r="K30" s="81"/>
      <c r="L30" s="760"/>
      <c r="M30" s="81"/>
      <c r="N30" s="81"/>
      <c r="O30" s="81"/>
      <c r="S30" s="1257" t="s">
        <v>38</v>
      </c>
      <c r="T30" s="1257"/>
      <c r="U30" s="763"/>
      <c r="V30" s="1258" t="str">
        <f>IF(TITLE_IST_PUB_CHANGE="",IF(TITLE_IST_PUB="","",TITLE_IST_PUB),TITLE_IST_PUB_CHANGE)</f>
        <v/>
      </c>
      <c r="W30" s="1258"/>
      <c r="X30" s="1258"/>
      <c r="Y30" s="1258"/>
      <c r="Z30" s="1258"/>
      <c r="AA30" s="1258"/>
      <c r="AB30" s="12"/>
      <c r="AC30" s="1258" t="str">
        <f>IF(TITLE_IST_PUB_CHANGE="",IF(TITLE_IST_PUB="","",TITLE_IST_PUB),TITLE_IST_PUB_CHANGE)</f>
        <v/>
      </c>
      <c r="AD30" s="1258"/>
      <c r="AE30" s="1258"/>
      <c r="AF30" s="1258"/>
      <c r="AG30" s="1258"/>
      <c r="AH30" s="1258"/>
      <c r="AI30" s="12"/>
      <c r="AJ30" s="12"/>
      <c r="AK30" s="161"/>
      <c r="AL30" s="69"/>
      <c r="AM30" s="69"/>
      <c r="AN30" s="69"/>
      <c r="AO30" s="69"/>
      <c r="AP30" s="69"/>
    </row>
    <row r="31" spans="1:42" ht="14.25" hidden="1" customHeight="1">
      <c r="Q31" s="29"/>
      <c r="R31" s="29"/>
      <c r="S31" s="729"/>
      <c r="T31" s="11"/>
      <c r="U31" s="11"/>
      <c r="V31" s="187"/>
      <c r="W31" s="187"/>
      <c r="X31" s="187"/>
      <c r="Y31" s="187"/>
      <c r="Z31" s="187"/>
      <c r="AA31" s="187"/>
      <c r="AB31" s="187"/>
      <c r="AC31" s="187"/>
      <c r="AD31" s="187"/>
      <c r="AE31" s="187"/>
      <c r="AF31" s="187"/>
      <c r="AG31" s="187"/>
      <c r="AH31" s="187"/>
      <c r="AI31" s="187"/>
    </row>
    <row r="32" spans="1:42" s="36" customFormat="1" ht="18.75" hidden="1" customHeight="1">
      <c r="A32" s="81"/>
      <c r="B32" s="81"/>
      <c r="C32" s="81"/>
      <c r="D32" s="81"/>
      <c r="E32" s="81"/>
      <c r="F32" s="81"/>
      <c r="G32" s="81"/>
      <c r="H32" s="81"/>
      <c r="I32" s="81"/>
      <c r="J32" s="81"/>
      <c r="K32" s="81"/>
      <c r="L32" s="760"/>
      <c r="M32" s="81"/>
      <c r="N32" s="81"/>
      <c r="O32" s="81"/>
      <c r="S32" s="1257" t="s">
        <v>424</v>
      </c>
      <c r="T32" s="1257"/>
      <c r="U32" s="763"/>
      <c r="V32" s="1267" t="str">
        <f>IF(TITLE_DATE_PR_CHANGE="",IF(TITLE_DATE_PR="","",TITLE_DATE_PR),TITLE_DATE_PR_CHANGE)</f>
        <v/>
      </c>
      <c r="W32" s="1267"/>
      <c r="X32" s="1267"/>
      <c r="Y32" s="1267"/>
      <c r="Z32" s="1267"/>
      <c r="AA32" s="1267"/>
      <c r="AB32" s="12"/>
      <c r="AC32" s="1267" t="str">
        <f>IF(TITLE_DATE_PR_CHANGE="",IF(TITLE_DATE_PR="","",TITLE_DATE_PR),TITLE_DATE_PR_CHANGE)</f>
        <v/>
      </c>
      <c r="AD32" s="1267"/>
      <c r="AE32" s="1267"/>
      <c r="AF32" s="1267"/>
      <c r="AG32" s="1267"/>
      <c r="AH32" s="1267"/>
      <c r="AI32" s="12"/>
      <c r="AJ32" s="12"/>
      <c r="AK32" s="161"/>
      <c r="AL32" s="69"/>
      <c r="AM32" s="69"/>
      <c r="AN32" s="69"/>
      <c r="AO32" s="69"/>
      <c r="AP32" s="69"/>
    </row>
    <row r="33" spans="1:42" s="36" customFormat="1" ht="18.75" hidden="1" customHeight="1">
      <c r="A33" s="81"/>
      <c r="B33" s="81"/>
      <c r="C33" s="81"/>
      <c r="D33" s="81"/>
      <c r="E33" s="81"/>
      <c r="F33" s="81"/>
      <c r="G33" s="81"/>
      <c r="H33" s="81"/>
      <c r="I33" s="81"/>
      <c r="J33" s="81"/>
      <c r="K33" s="81"/>
      <c r="L33" s="760"/>
      <c r="M33" s="81"/>
      <c r="N33" s="81"/>
      <c r="O33" s="81"/>
      <c r="S33" s="1257" t="s">
        <v>425</v>
      </c>
      <c r="T33" s="1257"/>
      <c r="U33" s="763"/>
      <c r="V33" s="1258" t="str">
        <f>IF(TITLE_NUMBER_PR_CHANGE="",IF(TITLE_NUMBER_PR="","",TITLE_NUMBER_PR),TITLE_NUMBER_PR_CHANGE)</f>
        <v/>
      </c>
      <c r="W33" s="1258"/>
      <c r="X33" s="1258"/>
      <c r="Y33" s="1258"/>
      <c r="Z33" s="1258"/>
      <c r="AA33" s="1258"/>
      <c r="AB33" s="12"/>
      <c r="AC33" s="1258" t="str">
        <f>IF(TITLE_NUMBER_PR_CHANGE="",IF(TITLE_NUMBER_PR="","",TITLE_NUMBER_PR),TITLE_NUMBER_PR_CHANGE)</f>
        <v/>
      </c>
      <c r="AD33" s="1258"/>
      <c r="AE33" s="1258"/>
      <c r="AF33" s="1258"/>
      <c r="AG33" s="1258"/>
      <c r="AH33" s="1258"/>
      <c r="AI33" s="12"/>
      <c r="AJ33" s="12"/>
      <c r="AK33" s="161"/>
      <c r="AL33" s="69"/>
      <c r="AM33" s="69"/>
      <c r="AN33" s="69"/>
      <c r="AO33" s="69"/>
      <c r="AP33" s="69"/>
    </row>
    <row r="34" spans="1:42" s="36" customFormat="1" ht="0.75" customHeight="1">
      <c r="A34" s="81"/>
      <c r="B34" s="81"/>
      <c r="C34" s="81"/>
      <c r="D34" s="81"/>
      <c r="E34" s="81"/>
      <c r="F34" s="81"/>
      <c r="G34" s="81"/>
      <c r="H34" s="81"/>
      <c r="I34" s="81"/>
      <c r="J34" s="81"/>
      <c r="K34" s="81"/>
      <c r="L34" s="760"/>
      <c r="M34" s="81"/>
      <c r="N34" s="81"/>
      <c r="O34" s="81"/>
      <c r="S34" s="12"/>
      <c r="T34" s="12"/>
      <c r="U34" s="77"/>
      <c r="V34" s="12"/>
      <c r="W34" s="12"/>
      <c r="X34" s="12"/>
      <c r="Y34" s="12"/>
      <c r="Z34" s="12"/>
      <c r="AA34" s="12"/>
      <c r="AB34" s="68" t="s">
        <v>426</v>
      </c>
      <c r="AC34" s="12"/>
      <c r="AD34" s="12"/>
      <c r="AE34" s="12"/>
      <c r="AF34" s="12"/>
      <c r="AG34" s="12"/>
      <c r="AH34" s="12"/>
      <c r="AI34" s="68" t="s">
        <v>426</v>
      </c>
      <c r="AL34" s="69"/>
      <c r="AM34" s="69"/>
      <c r="AN34" s="69"/>
      <c r="AO34" s="69"/>
      <c r="AP34" s="69"/>
    </row>
    <row r="35" spans="1:42" ht="14.25" customHeight="1">
      <c r="Q35" s="29"/>
      <c r="R35" s="29"/>
      <c r="S35" s="729"/>
      <c r="T35" s="11"/>
      <c r="U35" s="709"/>
      <c r="V35" s="1259"/>
      <c r="W35" s="1259"/>
      <c r="X35" s="1259"/>
      <c r="Y35" s="1259"/>
      <c r="Z35" s="1259"/>
      <c r="AA35" s="1259"/>
      <c r="AB35" s="1259"/>
      <c r="AC35" s="1259"/>
      <c r="AD35" s="1259"/>
      <c r="AE35" s="1259"/>
      <c r="AF35" s="1259"/>
      <c r="AG35" s="1259"/>
      <c r="AH35" s="1259"/>
      <c r="AI35" s="1259"/>
    </row>
    <row r="36" spans="1:42" ht="14.25" customHeight="1">
      <c r="Q36" s="29"/>
      <c r="R36" s="29"/>
      <c r="S36" s="1146" t="s">
        <v>299</v>
      </c>
      <c r="T36" s="1146"/>
      <c r="U36" s="1146"/>
      <c r="V36" s="1146"/>
      <c r="W36" s="1146"/>
      <c r="X36" s="1146"/>
      <c r="Y36" s="1146"/>
      <c r="Z36" s="1146"/>
      <c r="AA36" s="1146"/>
      <c r="AB36" s="1146"/>
      <c r="AC36" s="1146"/>
      <c r="AD36" s="1146"/>
      <c r="AE36" s="1146"/>
      <c r="AF36" s="1146"/>
      <c r="AG36" s="1146"/>
      <c r="AH36" s="1146"/>
      <c r="AI36" s="1146"/>
      <c r="AJ36" s="1146"/>
      <c r="AK36" s="1146" t="s">
        <v>300</v>
      </c>
    </row>
    <row r="37" spans="1:42" ht="14.25" customHeight="1">
      <c r="Q37" s="29"/>
      <c r="R37" s="29"/>
      <c r="S37" s="1273" t="s">
        <v>84</v>
      </c>
      <c r="T37" s="1224" t="s">
        <v>427</v>
      </c>
      <c r="U37" s="170"/>
      <c r="V37" s="1274" t="s">
        <v>428</v>
      </c>
      <c r="W37" s="1275"/>
      <c r="X37" s="1275"/>
      <c r="Y37" s="1275"/>
      <c r="Z37" s="1275"/>
      <c r="AA37" s="1276"/>
      <c r="AB37" s="1277" t="s">
        <v>429</v>
      </c>
      <c r="AC37" s="1274" t="s">
        <v>428</v>
      </c>
      <c r="AD37" s="1275"/>
      <c r="AE37" s="1275"/>
      <c r="AF37" s="1275"/>
      <c r="AG37" s="1275"/>
      <c r="AH37" s="1276"/>
      <c r="AI37" s="1277" t="s">
        <v>430</v>
      </c>
      <c r="AJ37" s="1280" t="s">
        <v>431</v>
      </c>
      <c r="AK37" s="1146"/>
    </row>
    <row r="38" spans="1:42" ht="33.75" customHeight="1">
      <c r="Q38" s="29"/>
      <c r="R38" s="29"/>
      <c r="S38" s="1273"/>
      <c r="T38" s="1224"/>
      <c r="U38" s="595"/>
      <c r="V38" s="332" t="s">
        <v>488</v>
      </c>
      <c r="W38" s="1117" t="s">
        <v>434</v>
      </c>
      <c r="X38" s="1116"/>
      <c r="Y38" s="1117" t="s">
        <v>435</v>
      </c>
      <c r="Z38" s="1122"/>
      <c r="AA38" s="1116"/>
      <c r="AB38" s="1278"/>
      <c r="AC38" s="332" t="s">
        <v>488</v>
      </c>
      <c r="AD38" s="1117" t="s">
        <v>434</v>
      </c>
      <c r="AE38" s="1116"/>
      <c r="AF38" s="1117" t="s">
        <v>435</v>
      </c>
      <c r="AG38" s="1122"/>
      <c r="AH38" s="1116"/>
      <c r="AI38" s="1278"/>
      <c r="AJ38" s="1281"/>
      <c r="AK38" s="1146"/>
    </row>
    <row r="39" spans="1:42" ht="86.25" customHeight="1">
      <c r="A39" s="81"/>
      <c r="B39" s="81" t="s">
        <v>136</v>
      </c>
      <c r="C39" s="81" t="s">
        <v>137</v>
      </c>
      <c r="D39" s="81" t="s">
        <v>138</v>
      </c>
      <c r="E39" s="760" t="s">
        <v>436</v>
      </c>
      <c r="F39" s="760" t="s">
        <v>437</v>
      </c>
      <c r="G39" s="760" t="s">
        <v>438</v>
      </c>
      <c r="H39" s="760"/>
      <c r="I39" s="760" t="s">
        <v>489</v>
      </c>
      <c r="J39" s="760" t="s">
        <v>441</v>
      </c>
      <c r="K39" s="760" t="s">
        <v>490</v>
      </c>
      <c r="L39" s="760" t="s">
        <v>417</v>
      </c>
      <c r="Q39" s="29"/>
      <c r="R39" s="29"/>
      <c r="S39" s="1273"/>
      <c r="T39" s="1224"/>
      <c r="U39" s="171"/>
      <c r="V39" s="332" t="s">
        <v>517</v>
      </c>
      <c r="W39" s="40" t="s">
        <v>518</v>
      </c>
      <c r="X39" s="40" t="s">
        <v>493</v>
      </c>
      <c r="Y39" s="40" t="s">
        <v>445</v>
      </c>
      <c r="Z39" s="1233" t="s">
        <v>446</v>
      </c>
      <c r="AA39" s="1235"/>
      <c r="AB39" s="1279"/>
      <c r="AC39" s="332" t="s">
        <v>517</v>
      </c>
      <c r="AD39" s="40" t="s">
        <v>518</v>
      </c>
      <c r="AE39" s="40" t="s">
        <v>493</v>
      </c>
      <c r="AF39" s="40" t="s">
        <v>445</v>
      </c>
      <c r="AG39" s="1233" t="s">
        <v>446</v>
      </c>
      <c r="AH39" s="1235"/>
      <c r="AI39" s="1279"/>
      <c r="AJ39" s="1282"/>
      <c r="AK39" s="1146"/>
    </row>
    <row r="40" spans="1:42" s="201" customFormat="1" ht="11.25" hidden="1" customHeight="1">
      <c r="A40" s="81"/>
      <c r="B40" s="81"/>
      <c r="C40" s="81"/>
      <c r="D40" s="81"/>
      <c r="E40" s="81"/>
      <c r="F40" s="81"/>
      <c r="G40" s="81"/>
      <c r="H40" s="81"/>
      <c r="I40" s="81"/>
      <c r="J40" s="81"/>
      <c r="K40" s="81"/>
      <c r="L40" s="760"/>
      <c r="M40" s="497"/>
      <c r="N40" s="497"/>
      <c r="O40" s="497"/>
      <c r="P40" s="711"/>
      <c r="Q40" s="712"/>
      <c r="R40" s="714">
        <v>1</v>
      </c>
      <c r="S40" s="731" t="s">
        <v>105</v>
      </c>
      <c r="T40" s="715" t="s">
        <v>106</v>
      </c>
      <c r="U40" s="710" t="str">
        <f ca="1">OFFSET(U40,0,-1)</f>
        <v>2</v>
      </c>
      <c r="V40" s="716">
        <f ca="1">OFFSET(V40,0,-1)+1</f>
        <v>3</v>
      </c>
      <c r="W40" s="716">
        <f ca="1">OFFSET(W40,0,-1)+1</f>
        <v>4</v>
      </c>
      <c r="X40" s="716">
        <f ca="1">OFFSET(X40,0,-1)+1</f>
        <v>5</v>
      </c>
      <c r="Y40" s="716">
        <f ca="1">OFFSET(Y40,0,-1)+1</f>
        <v>6</v>
      </c>
      <c r="Z40" s="1272">
        <f ca="1">OFFSET(Z40,0,-1)+1</f>
        <v>7</v>
      </c>
      <c r="AA40" s="1272"/>
      <c r="AB40" s="716">
        <f ca="1">OFFSET(AB40,0,-2)+1</f>
        <v>8</v>
      </c>
      <c r="AC40" s="716">
        <f ca="1">OFFSET(AC40,0,-1)+1</f>
        <v>9</v>
      </c>
      <c r="AD40" s="716">
        <f ca="1">OFFSET(AD40,0,-1)+1</f>
        <v>10</v>
      </c>
      <c r="AE40" s="716">
        <f ca="1">OFFSET(AE40,0,-1)+1</f>
        <v>11</v>
      </c>
      <c r="AF40" s="716">
        <f ca="1">OFFSET(AF40,0,-1)+1</f>
        <v>12</v>
      </c>
      <c r="AG40" s="1272">
        <f ca="1">OFFSET(AG40,0,-1)+1</f>
        <v>13</v>
      </c>
      <c r="AH40" s="1272"/>
      <c r="AI40" s="716">
        <f ca="1">OFFSET(AI40,0,-2)+1</f>
        <v>14</v>
      </c>
      <c r="AJ40" s="710">
        <f ca="1">OFFSET(AJ40,0,-1)</f>
        <v>14</v>
      </c>
      <c r="AK40" s="716">
        <f ca="1">OFFSET(AK40,0,-1)+1</f>
        <v>15</v>
      </c>
      <c r="AL40" s="68"/>
      <c r="AM40" s="68"/>
      <c r="AN40" s="68"/>
      <c r="AO40" s="68"/>
      <c r="AP40" s="68"/>
    </row>
    <row r="41" spans="1:42" ht="23.25" customHeight="1">
      <c r="A41" s="759" t="s">
        <v>265</v>
      </c>
      <c r="B41" s="759"/>
      <c r="C41" s="759"/>
      <c r="D41" s="759"/>
      <c r="E41" s="1265">
        <v>1</v>
      </c>
      <c r="F41" s="759"/>
      <c r="G41" s="759"/>
      <c r="H41" s="759"/>
      <c r="I41" s="759"/>
      <c r="J41" s="759"/>
      <c r="K41" s="759"/>
      <c r="L41" s="760"/>
      <c r="M41" s="417"/>
      <c r="N41" s="417"/>
      <c r="O41" s="417"/>
      <c r="Q41" s="35"/>
      <c r="R41" s="205"/>
      <c r="S41" s="698">
        <f>INDEX(PT_DIFFERENTIATION_NUM_NTAR,MATCH(A41,PT_DIFFERENTIATION_NTAR_ID,0))</f>
        <v>0</v>
      </c>
      <c r="T41" s="67" t="s">
        <v>124</v>
      </c>
      <c r="U41" s="169"/>
      <c r="V41" s="1251"/>
      <c r="W41" s="1252"/>
      <c r="X41" s="1252"/>
      <c r="Y41" s="1252"/>
      <c r="Z41" s="1252"/>
      <c r="AA41" s="1252"/>
      <c r="AB41" s="1253"/>
      <c r="AC41" s="1251" t="str">
        <f>INDEX(PT_DIFFERENTIATION_NTAR,MATCH(A41,PT_DIFFERENTIATION_NTAR_ID,0))</f>
        <v/>
      </c>
      <c r="AD41" s="1252"/>
      <c r="AE41" s="1252"/>
      <c r="AF41" s="1252"/>
      <c r="AG41" s="1252"/>
      <c r="AH41" s="1252"/>
      <c r="AI41" s="1252"/>
      <c r="AJ41" s="1253"/>
      <c r="AK41"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row>
    <row r="42" spans="1:42" ht="23.25" customHeight="1">
      <c r="A42" s="759" t="s">
        <v>265</v>
      </c>
      <c r="B42" s="759" t="s">
        <v>266</v>
      </c>
      <c r="C42" s="759"/>
      <c r="D42" s="759"/>
      <c r="E42" s="1266"/>
      <c r="F42" s="1265">
        <v>1</v>
      </c>
      <c r="G42" s="759"/>
      <c r="H42" s="759"/>
      <c r="I42" s="759"/>
      <c r="J42" s="759"/>
      <c r="K42" s="759"/>
      <c r="L42" s="760"/>
      <c r="M42" s="417"/>
      <c r="N42" s="417"/>
      <c r="O42" s="417"/>
      <c r="P42" s="59"/>
      <c r="Q42" s="202"/>
      <c r="R42" s="203"/>
      <c r="S42" s="698" t="str">
        <f>INDEX(PT_DIFFERENTIATION_NUM_TER,MATCH(B42,PT_DIFFERENTIATION_TER_ID,0))</f>
        <v>.</v>
      </c>
      <c r="T42" s="175" t="s">
        <v>396</v>
      </c>
      <c r="U42" s="169"/>
      <c r="V42" s="1251"/>
      <c r="W42" s="1252"/>
      <c r="X42" s="1252"/>
      <c r="Y42" s="1252"/>
      <c r="Z42" s="1252"/>
      <c r="AA42" s="1252"/>
      <c r="AB42" s="1253"/>
      <c r="AC42" s="1251" t="str">
        <f>INDEX(PT_DIFFERENTIATION_TER,MATCH(B42,PT_DIFFERENTIATION_TER_ID,0))</f>
        <v/>
      </c>
      <c r="AD42" s="1252"/>
      <c r="AE42" s="1252"/>
      <c r="AF42" s="1252"/>
      <c r="AG42" s="1252"/>
      <c r="AH42" s="1252"/>
      <c r="AI42" s="1252"/>
      <c r="AJ42" s="1253"/>
      <c r="AK42" s="718" t="s">
        <v>397</v>
      </c>
      <c r="AM42" s="69"/>
      <c r="AN42" s="69" t="str">
        <f t="shared" si="1"/>
        <v>Территория действия тарифа</v>
      </c>
      <c r="AO42" s="69"/>
      <c r="AP42" s="69"/>
    </row>
    <row r="43" spans="1:42" ht="23.25" customHeight="1">
      <c r="A43" s="759" t="s">
        <v>265</v>
      </c>
      <c r="B43" s="759" t="s">
        <v>266</v>
      </c>
      <c r="C43" s="759" t="s">
        <v>267</v>
      </c>
      <c r="D43" s="759"/>
      <c r="E43" s="1266"/>
      <c r="F43" s="1266"/>
      <c r="G43" s="1265">
        <v>1</v>
      </c>
      <c r="H43" s="759"/>
      <c r="I43" s="759"/>
      <c r="J43" s="759"/>
      <c r="K43" s="759"/>
      <c r="L43" s="760"/>
      <c r="M43" s="417"/>
      <c r="N43" s="417"/>
      <c r="O43" s="417"/>
      <c r="P43" s="204"/>
      <c r="Q43" s="202"/>
      <c r="R43" s="203"/>
      <c r="S43" s="698" t="str">
        <f>INDEX(PT_DIFFERENTIATION_NUM_CS,MATCH(C43,PT_DIFFERENTIATION_CS_ID,0))</f>
        <v>..</v>
      </c>
      <c r="T43" s="176" t="s">
        <v>515</v>
      </c>
      <c r="U43" s="169"/>
      <c r="V43" s="1251"/>
      <c r="W43" s="1252"/>
      <c r="X43" s="1252"/>
      <c r="Y43" s="1252"/>
      <c r="Z43" s="1252"/>
      <c r="AA43" s="1252"/>
      <c r="AB43" s="1253"/>
      <c r="AC43" s="1251" t="str">
        <f>INDEX(PT_DIFFERENTIATION_CS,MATCH(C43,PT_DIFFERENTIATION_CS_ID,0))</f>
        <v/>
      </c>
      <c r="AD43" s="1252"/>
      <c r="AE43" s="1252"/>
      <c r="AF43" s="1252"/>
      <c r="AG43" s="1252"/>
      <c r="AH43" s="1252"/>
      <c r="AI43" s="1252"/>
      <c r="AJ43" s="1253"/>
      <c r="AK43" s="718" t="s">
        <v>516</v>
      </c>
      <c r="AM43" s="69"/>
      <c r="AN43" s="69" t="str">
        <f t="shared" si="1"/>
        <v>Наименование централизованной системы водоотведения</v>
      </c>
      <c r="AO43" s="69"/>
      <c r="AP43" s="69"/>
    </row>
    <row r="44" spans="1:42" ht="23.25" customHeight="1">
      <c r="A44" s="759" t="s">
        <v>265</v>
      </c>
      <c r="B44" s="759" t="s">
        <v>266</v>
      </c>
      <c r="C44" s="759" t="s">
        <v>267</v>
      </c>
      <c r="D44" s="759" t="s">
        <v>519</v>
      </c>
      <c r="E44" s="1266"/>
      <c r="F44" s="1266"/>
      <c r="G44" s="1266"/>
      <c r="H44" s="1266"/>
      <c r="I44" s="1263" t="str">
        <f>S43&amp;".1"</f>
        <v>...1</v>
      </c>
      <c r="J44" s="759"/>
      <c r="K44" s="759"/>
      <c r="L44" s="760"/>
      <c r="P44" s="1264">
        <v>1</v>
      </c>
      <c r="Q44" s="120"/>
      <c r="R44" s="206"/>
      <c r="S44" s="698" t="str">
        <f>$I44</f>
        <v>...1</v>
      </c>
      <c r="T44" s="162" t="s">
        <v>482</v>
      </c>
      <c r="U44" s="169"/>
      <c r="V44" s="1331"/>
      <c r="W44" s="1332"/>
      <c r="X44" s="1332"/>
      <c r="Y44" s="1332"/>
      <c r="Z44" s="1332"/>
      <c r="AA44" s="1332"/>
      <c r="AB44" s="1333"/>
      <c r="AC44" s="1334"/>
      <c r="AD44" s="1335"/>
      <c r="AE44" s="1335"/>
      <c r="AF44" s="1335"/>
      <c r="AG44" s="1335"/>
      <c r="AH44" s="1335"/>
      <c r="AI44" s="1335"/>
      <c r="AJ44" s="1336"/>
      <c r="AK44" s="718" t="s">
        <v>483</v>
      </c>
      <c r="AM44" s="69"/>
      <c r="AN44" s="69" t="str">
        <f t="shared" si="1"/>
        <v>Наименование признака дифференциации</v>
      </c>
      <c r="AO44" s="69"/>
      <c r="AP44" s="69"/>
    </row>
    <row r="45" spans="1:42" ht="23.25" customHeight="1">
      <c r="A45" s="759" t="s">
        <v>265</v>
      </c>
      <c r="B45" s="759" t="s">
        <v>266</v>
      </c>
      <c r="C45" s="759" t="s">
        <v>267</v>
      </c>
      <c r="D45" s="759" t="s">
        <v>519</v>
      </c>
      <c r="E45" s="1266"/>
      <c r="F45" s="1266"/>
      <c r="G45" s="1266"/>
      <c r="H45" s="1266"/>
      <c r="I45" s="1286"/>
      <c r="J45" s="1263" t="str">
        <f>I44&amp;".1"</f>
        <v>...1.1</v>
      </c>
      <c r="K45" s="759"/>
      <c r="L45" s="760" t="s">
        <v>405</v>
      </c>
      <c r="P45" s="1264"/>
      <c r="Q45" s="1264">
        <v>1</v>
      </c>
      <c r="R45" s="207"/>
      <c r="S45" s="698" t="str">
        <f>$J45</f>
        <v>...1.1</v>
      </c>
      <c r="T45" s="163" t="s">
        <v>406</v>
      </c>
      <c r="U45" s="169"/>
      <c r="V45" s="1254"/>
      <c r="W45" s="1255"/>
      <c r="X45" s="1255"/>
      <c r="Y45" s="1255"/>
      <c r="Z45" s="1255"/>
      <c r="AA45" s="1255"/>
      <c r="AB45" s="1256"/>
      <c r="AC45" s="1254"/>
      <c r="AD45" s="1255"/>
      <c r="AE45" s="1255"/>
      <c r="AF45" s="1255"/>
      <c r="AG45" s="1255"/>
      <c r="AH45" s="1255"/>
      <c r="AI45" s="1255"/>
      <c r="AJ45" s="1256"/>
      <c r="AK45" s="743" t="s">
        <v>484</v>
      </c>
      <c r="AM45" s="69"/>
      <c r="AN45" s="69" t="str">
        <f t="shared" si="1"/>
        <v>Группа потребителей</v>
      </c>
      <c r="AO45" s="69"/>
      <c r="AP45" s="69"/>
    </row>
    <row r="46" spans="1:42" ht="23.25" customHeight="1">
      <c r="A46" s="759" t="s">
        <v>265</v>
      </c>
      <c r="B46" s="759" t="s">
        <v>266</v>
      </c>
      <c r="C46" s="759" t="s">
        <v>267</v>
      </c>
      <c r="D46" s="759" t="s">
        <v>519</v>
      </c>
      <c r="E46" s="1266"/>
      <c r="F46" s="1266"/>
      <c r="G46" s="1266"/>
      <c r="H46" s="1266"/>
      <c r="I46" s="1286"/>
      <c r="J46" s="1286"/>
      <c r="K46" s="1263" t="str">
        <f>J45&amp;".1"</f>
        <v>...1.1.1</v>
      </c>
      <c r="L46" s="760"/>
      <c r="P46" s="1264"/>
      <c r="Q46" s="1264"/>
      <c r="R46" s="207">
        <v>1</v>
      </c>
      <c r="S46" s="698" t="str">
        <f>$K46</f>
        <v>...1.1.1</v>
      </c>
      <c r="T46" s="802"/>
      <c r="U46" s="169"/>
      <c r="V46" s="359"/>
      <c r="W46" s="359"/>
      <c r="X46" s="758"/>
      <c r="Y46" s="1270"/>
      <c r="Z46" s="1271" t="s">
        <v>62</v>
      </c>
      <c r="AA46" s="1270"/>
      <c r="AB46" s="1271" t="s">
        <v>62</v>
      </c>
      <c r="AC46" s="304"/>
      <c r="AD46" s="304"/>
      <c r="AE46" s="717"/>
      <c r="AF46" s="1268"/>
      <c r="AG46" s="1127" t="s">
        <v>62</v>
      </c>
      <c r="AH46" s="1287"/>
      <c r="AI46" s="1127" t="s">
        <v>52</v>
      </c>
      <c r="AJ46" s="803"/>
      <c r="AK46" s="1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row>
    <row r="47" spans="1:42" ht="0" hidden="1" customHeight="1">
      <c r="A47" s="759" t="s">
        <v>265</v>
      </c>
      <c r="B47" s="759" t="s">
        <v>266</v>
      </c>
      <c r="C47" s="759" t="s">
        <v>267</v>
      </c>
      <c r="D47" s="759" t="s">
        <v>519</v>
      </c>
      <c r="E47" s="1266"/>
      <c r="F47" s="1266"/>
      <c r="G47" s="1266"/>
      <c r="H47" s="1266"/>
      <c r="I47" s="1286"/>
      <c r="J47" s="1286"/>
      <c r="K47" s="1263"/>
      <c r="L47" s="760"/>
      <c r="P47" s="1264"/>
      <c r="Q47" s="1264"/>
      <c r="R47" s="207"/>
      <c r="S47" s="65"/>
      <c r="T47" s="169"/>
      <c r="U47" s="169"/>
      <c r="V47" s="359"/>
      <c r="W47" s="359"/>
      <c r="X47" s="190" t="str">
        <f>Y46&amp;"-"&amp;AA46</f>
        <v>-</v>
      </c>
      <c r="Y47" s="1271"/>
      <c r="Z47" s="1271"/>
      <c r="AA47" s="1271"/>
      <c r="AB47" s="1271"/>
      <c r="AC47" s="189"/>
      <c r="AD47" s="189"/>
      <c r="AE47" s="190" t="str">
        <f>AF46&amp;"-"&amp;AH46</f>
        <v>-</v>
      </c>
      <c r="AF47" s="1269"/>
      <c r="AG47" s="1127"/>
      <c r="AH47" s="1288"/>
      <c r="AI47" s="1127"/>
      <c r="AJ47" s="379"/>
      <c r="AK47" s="1330"/>
      <c r="AM47" s="69"/>
      <c r="AN47" s="69" t="str">
        <f t="shared" si="1"/>
        <v/>
      </c>
      <c r="AO47" s="69"/>
      <c r="AP47" s="69"/>
    </row>
    <row r="48" spans="1:42" ht="21" customHeight="1">
      <c r="A48" s="759" t="s">
        <v>265</v>
      </c>
      <c r="B48" s="759" t="s">
        <v>266</v>
      </c>
      <c r="C48" s="759" t="s">
        <v>267</v>
      </c>
      <c r="D48" s="759" t="s">
        <v>519</v>
      </c>
      <c r="E48" s="1266"/>
      <c r="F48" s="1266"/>
      <c r="G48" s="1266"/>
      <c r="H48" s="1266"/>
      <c r="I48" s="1286"/>
      <c r="J48" s="1263"/>
      <c r="K48" s="759"/>
      <c r="L48" s="760"/>
      <c r="P48" s="1264"/>
      <c r="Q48" s="1264"/>
      <c r="R48" s="206"/>
      <c r="S48" s="732"/>
      <c r="T48" s="164" t="s">
        <v>485</v>
      </c>
      <c r="U48" s="211"/>
      <c r="V48" s="211"/>
      <c r="W48" s="211"/>
      <c r="X48" s="211"/>
      <c r="Y48" s="211"/>
      <c r="Z48" s="211"/>
      <c r="AA48" s="211"/>
      <c r="AB48" s="211"/>
      <c r="AC48" s="211"/>
      <c r="AD48" s="211"/>
      <c r="AE48" s="211"/>
      <c r="AF48" s="211"/>
      <c r="AG48" s="211"/>
      <c r="AH48" s="211"/>
      <c r="AI48" s="211"/>
      <c r="AJ48" s="211"/>
      <c r="AK48" s="718" t="s">
        <v>486</v>
      </c>
      <c r="AM48" s="69"/>
      <c r="AN48" s="69" t="str">
        <f t="shared" si="1"/>
        <v>Добавить значение признака дифференциации</v>
      </c>
      <c r="AO48" s="69"/>
      <c r="AP48" s="69"/>
    </row>
    <row r="49" spans="1:42" ht="21" customHeight="1">
      <c r="A49" s="759" t="s">
        <v>265</v>
      </c>
      <c r="B49" s="759" t="s">
        <v>266</v>
      </c>
      <c r="C49" s="759" t="s">
        <v>267</v>
      </c>
      <c r="D49" s="759" t="s">
        <v>519</v>
      </c>
      <c r="E49" s="1266"/>
      <c r="F49" s="1266"/>
      <c r="G49" s="1266"/>
      <c r="H49" s="1266"/>
      <c r="I49" s="1263"/>
      <c r="J49" s="759"/>
      <c r="K49" s="759"/>
      <c r="L49" s="760"/>
      <c r="P49" s="1264"/>
      <c r="Q49" s="120"/>
      <c r="R49" s="206"/>
      <c r="S49" s="732"/>
      <c r="T49" s="209" t="s">
        <v>411</v>
      </c>
      <c r="U49" s="211"/>
      <c r="V49" s="211"/>
      <c r="W49" s="211"/>
      <c r="X49" s="211"/>
      <c r="Y49" s="211"/>
      <c r="Z49" s="211"/>
      <c r="AA49" s="211"/>
      <c r="AB49" s="210"/>
      <c r="AC49" s="211"/>
      <c r="AD49" s="211"/>
      <c r="AE49" s="211"/>
      <c r="AF49" s="211"/>
      <c r="AG49" s="211"/>
      <c r="AH49" s="211"/>
      <c r="AI49" s="210"/>
      <c r="AJ49" s="211"/>
      <c r="AK49" s="804"/>
      <c r="AM49" s="69"/>
      <c r="AN49" s="69" t="str">
        <f t="shared" si="1"/>
        <v>Добавить группу потребителей</v>
      </c>
      <c r="AO49" s="69"/>
      <c r="AP49" s="69"/>
    </row>
    <row r="50" spans="1:42" ht="21" customHeight="1">
      <c r="A50" s="759" t="s">
        <v>265</v>
      </c>
      <c r="B50" s="759" t="s">
        <v>266</v>
      </c>
      <c r="C50" s="759" t="s">
        <v>267</v>
      </c>
      <c r="D50" s="759" t="s">
        <v>519</v>
      </c>
      <c r="E50" s="1266"/>
      <c r="F50" s="1266"/>
      <c r="G50" s="1266"/>
      <c r="H50" s="1265"/>
      <c r="I50" s="759"/>
      <c r="J50" s="759"/>
      <c r="K50" s="759"/>
      <c r="L50" s="760"/>
      <c r="M50" s="417"/>
      <c r="N50" s="417"/>
      <c r="O50" s="63"/>
      <c r="P50" s="35"/>
      <c r="Q50" s="214"/>
      <c r="R50" s="205"/>
      <c r="S50" s="732"/>
      <c r="T50" s="105" t="s">
        <v>487</v>
      </c>
      <c r="U50" s="211"/>
      <c r="V50" s="211"/>
      <c r="W50" s="211"/>
      <c r="X50" s="211"/>
      <c r="Y50" s="211"/>
      <c r="Z50" s="211"/>
      <c r="AA50" s="211"/>
      <c r="AB50" s="210"/>
      <c r="AC50" s="211"/>
      <c r="AD50" s="211"/>
      <c r="AE50" s="211"/>
      <c r="AF50" s="211"/>
      <c r="AG50" s="211"/>
      <c r="AH50" s="211"/>
      <c r="AI50" s="210"/>
      <c r="AJ50" s="211"/>
      <c r="AK50" s="172"/>
      <c r="AM50" s="69"/>
      <c r="AN50" s="69" t="str">
        <f t="shared" si="1"/>
        <v>Добавить наименование признака дифференциации</v>
      </c>
      <c r="AO50" s="69"/>
      <c r="AP50" s="69"/>
    </row>
    <row r="51" spans="1:42" s="68" customFormat="1" ht="0" hidden="1" customHeight="1">
      <c r="A51" s="143" t="s">
        <v>265</v>
      </c>
      <c r="B51" s="143" t="s">
        <v>266</v>
      </c>
      <c r="C51" s="143"/>
      <c r="D51" s="143"/>
      <c r="E51" s="1266"/>
      <c r="F51" s="1265"/>
      <c r="G51" s="143"/>
      <c r="H51" s="143"/>
      <c r="I51" s="143"/>
      <c r="J51" s="143"/>
      <c r="K51" s="143"/>
      <c r="L51" s="338"/>
      <c r="M51" s="749"/>
      <c r="N51" s="749"/>
      <c r="P51" s="102"/>
      <c r="Q51" s="745"/>
      <c r="R51" s="102"/>
      <c r="S51" s="750"/>
      <c r="T51" s="752" t="s">
        <v>414</v>
      </c>
      <c r="U51" s="311"/>
      <c r="V51" s="311"/>
      <c r="W51" s="311"/>
      <c r="X51" s="311"/>
      <c r="Y51" s="311"/>
      <c r="Z51" s="311"/>
      <c r="AA51" s="311"/>
      <c r="AB51" s="311"/>
      <c r="AC51" s="311"/>
      <c r="AD51" s="311"/>
      <c r="AE51" s="311"/>
      <c r="AF51" s="311"/>
      <c r="AG51" s="311"/>
      <c r="AH51" s="311"/>
      <c r="AI51" s="311"/>
      <c r="AJ51" s="311"/>
      <c r="AK51" s="311"/>
      <c r="AM51" s="69"/>
      <c r="AN51" s="69" t="str">
        <f t="shared" si="1"/>
        <v>Добавить централизованную систему для дифференциации</v>
      </c>
      <c r="AO51" s="69"/>
      <c r="AP51" s="69"/>
    </row>
    <row r="52" spans="1:42" s="68" customFormat="1" ht="0" hidden="1" customHeight="1">
      <c r="A52" s="143" t="s">
        <v>265</v>
      </c>
      <c r="B52" s="143"/>
      <c r="C52" s="143"/>
      <c r="D52" s="143"/>
      <c r="E52" s="1265"/>
      <c r="F52" s="143"/>
      <c r="G52" s="143"/>
      <c r="H52" s="143"/>
      <c r="I52" s="143"/>
      <c r="J52" s="143"/>
      <c r="K52" s="143"/>
      <c r="L52" s="338"/>
      <c r="M52" s="749"/>
      <c r="N52" s="749"/>
      <c r="P52" s="102"/>
      <c r="Q52" s="745"/>
      <c r="R52" s="102"/>
      <c r="S52" s="750"/>
      <c r="T52" s="752" t="s">
        <v>415</v>
      </c>
      <c r="U52" s="311"/>
      <c r="V52" s="311"/>
      <c r="W52" s="311"/>
      <c r="X52" s="311"/>
      <c r="Y52" s="311"/>
      <c r="Z52" s="311"/>
      <c r="AA52" s="311"/>
      <c r="AB52" s="311"/>
      <c r="AC52" s="311"/>
      <c r="AD52" s="311"/>
      <c r="AE52" s="311"/>
      <c r="AF52" s="311"/>
      <c r="AG52" s="311"/>
      <c r="AH52" s="311"/>
      <c r="AI52" s="311"/>
      <c r="AJ52" s="311"/>
      <c r="AK52" s="311"/>
      <c r="AM52" s="69"/>
      <c r="AN52" s="69" t="str">
        <f t="shared" si="1"/>
        <v>Добавить территорию для дифференциации</v>
      </c>
      <c r="AO52" s="69"/>
      <c r="AP52" s="69"/>
    </row>
    <row r="53" spans="1:42" s="68" customFormat="1" ht="0" hidden="1" customHeight="1">
      <c r="A53" s="143"/>
      <c r="B53" s="143"/>
      <c r="C53" s="143"/>
      <c r="D53" s="143"/>
      <c r="E53" s="143"/>
      <c r="F53" s="143"/>
      <c r="G53" s="143"/>
      <c r="H53" s="143"/>
      <c r="I53" s="143"/>
      <c r="J53" s="143"/>
      <c r="K53" s="143"/>
      <c r="L53" s="338"/>
      <c r="M53" s="749"/>
      <c r="N53" s="749"/>
      <c r="P53" s="102"/>
      <c r="Q53" s="745"/>
      <c r="R53" s="102"/>
      <c r="S53" s="750"/>
      <c r="T53" s="752" t="s">
        <v>447</v>
      </c>
      <c r="U53" s="311"/>
      <c r="V53" s="311"/>
      <c r="W53" s="311"/>
      <c r="X53" s="311"/>
      <c r="Y53" s="311"/>
      <c r="Z53" s="311"/>
      <c r="AA53" s="311"/>
      <c r="AB53" s="311"/>
      <c r="AC53" s="311"/>
      <c r="AD53" s="311"/>
      <c r="AE53" s="311"/>
      <c r="AF53" s="311"/>
      <c r="AG53" s="311"/>
      <c r="AH53" s="311"/>
      <c r="AI53" s="311"/>
      <c r="AJ53" s="311"/>
      <c r="AK53" s="311"/>
      <c r="AM53" s="69"/>
      <c r="AN53" s="69" t="str">
        <f t="shared" si="1"/>
        <v>Добавить наименование тарифа</v>
      </c>
      <c r="AO53" s="69"/>
      <c r="AP53" s="69"/>
    </row>
    <row r="54" spans="1:42" ht="11.25" customHeight="1">
      <c r="M54" s="63"/>
      <c r="N54" s="63"/>
      <c r="O54" s="63"/>
      <c r="P54" s="12"/>
      <c r="Q54" s="12"/>
      <c r="R54" s="12"/>
      <c r="S54" s="12"/>
      <c r="AL54" s="12"/>
      <c r="AM54" s="12"/>
      <c r="AN54" s="12"/>
      <c r="AO54" s="12"/>
      <c r="AP54" s="12"/>
    </row>
    <row r="55" spans="1:42" ht="14.25" customHeight="1">
      <c r="O55" s="63"/>
      <c r="S55" s="196"/>
      <c r="T55" s="1285"/>
      <c r="U55" s="1285"/>
      <c r="V55" s="1285"/>
      <c r="W55" s="1285"/>
      <c r="X55" s="1285"/>
      <c r="Y55" s="1285"/>
      <c r="Z55" s="1285"/>
      <c r="AA55" s="1285"/>
      <c r="AB55" s="1285"/>
      <c r="AC55" s="1285"/>
      <c r="AD55" s="1285"/>
      <c r="AE55" s="1285"/>
      <c r="AF55" s="1285"/>
      <c r="AG55" s="1285"/>
      <c r="AH55" s="1285"/>
      <c r="AI55" s="1285"/>
      <c r="AJ55" s="1285"/>
      <c r="AK55" s="1285"/>
    </row>
    <row r="56" spans="1:42" ht="14.25" customHeight="1">
      <c r="O56" s="63"/>
    </row>
    <row r="57" spans="1:42" ht="14.25" customHeight="1">
      <c r="O57" s="63"/>
      <c r="S57" s="196"/>
      <c r="T57" s="1285"/>
      <c r="U57" s="1285"/>
      <c r="V57" s="1285"/>
      <c r="W57" s="1285"/>
      <c r="X57" s="1285"/>
      <c r="Y57" s="1285"/>
      <c r="Z57" s="1285"/>
      <c r="AA57" s="1285"/>
      <c r="AB57" s="1285"/>
      <c r="AC57" s="1285"/>
      <c r="AD57" s="1285"/>
      <c r="AE57" s="1285"/>
      <c r="AF57" s="1285"/>
      <c r="AG57" s="1285"/>
      <c r="AH57" s="1285"/>
      <c r="AI57" s="1285"/>
      <c r="AJ57" s="1285"/>
      <c r="AK57" s="128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DC849-094A-87F5-DEDC-933E81A0768A}">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299" hidden="1" customWidth="1"/>
    <col min="13" max="14" width="12.28515625" style="497" hidden="1" customWidth="1"/>
    <col min="15" max="15" width="23.42578125" style="497" hidden="1" customWidth="1"/>
    <col min="16" max="16" width="3.7109375" style="34" customWidth="1"/>
    <col min="17" max="18" width="3.7109375" style="30" customWidth="1"/>
    <col min="19" max="19" width="12.7109375" style="334" customWidth="1"/>
    <col min="20" max="20" width="35.7109375" style="12" customWidth="1"/>
    <col min="21" max="21" width="0.140625" style="12" customWidth="1"/>
    <col min="22" max="24" width="24.7109375" style="12" hidden="1" customWidth="1"/>
    <col min="25" max="25" width="11.7109375" style="12" hidden="1" customWidth="1"/>
    <col min="26" max="26" width="3.7109375" style="12" hidden="1" customWidth="1"/>
    <col min="27" max="27" width="11.7109375" style="12" hidden="1" customWidth="1"/>
    <col min="28" max="28" width="8.5703125" style="12" hidden="1" customWidth="1"/>
    <col min="29" max="31" width="24.7109375" style="12" customWidth="1"/>
    <col min="32" max="32" width="11.7109375" style="12" customWidth="1"/>
    <col min="33" max="33" width="3.7109375" style="12" customWidth="1"/>
    <col min="34" max="34" width="11.7109375" style="12" customWidth="1"/>
    <col min="35" max="35" width="8.5703125" style="12" hidden="1" customWidth="1"/>
    <col min="36" max="36" width="4.7109375" style="12" customWidth="1"/>
    <col min="37" max="37" width="115.7109375" style="12" customWidth="1"/>
    <col min="38" max="39" width="10.5703125" style="68"/>
    <col min="40" max="40" width="11.140625" style="68" customWidth="1"/>
    <col min="41" max="42" width="10.5703125" style="68"/>
  </cols>
  <sheetData>
    <row r="1" spans="1:42" ht="14.25" hidden="1" customHeight="1"/>
    <row r="2" spans="1:42" ht="23.25" hidden="1" customHeight="1">
      <c r="A2" s="759"/>
      <c r="B2" s="759"/>
      <c r="C2" s="759"/>
      <c r="D2" s="759"/>
      <c r="E2" s="1265">
        <v>1</v>
      </c>
      <c r="F2" s="759"/>
      <c r="G2" s="759"/>
      <c r="H2" s="759"/>
      <c r="I2" s="759"/>
      <c r="J2" s="759"/>
      <c r="K2" s="759"/>
      <c r="L2" s="760"/>
      <c r="M2" s="417"/>
      <c r="N2" s="417"/>
      <c r="O2" s="417"/>
      <c r="Q2" s="35"/>
      <c r="R2" s="205"/>
      <c r="S2" s="698" t="e">
        <f>INDEX(PT_DIFFERENTIATION_NUM_NTAR,MATCH(A2,PT_DIFFERENTIATION_NTAR_ID,0))</f>
        <v>#N/A</v>
      </c>
      <c r="T2" s="67" t="s">
        <v>124</v>
      </c>
      <c r="U2" s="169"/>
      <c r="V2" s="1251"/>
      <c r="W2" s="1252"/>
      <c r="X2" s="1252"/>
      <c r="Y2" s="1252"/>
      <c r="Z2" s="1252"/>
      <c r="AA2" s="1252"/>
      <c r="AB2" s="1253"/>
      <c r="AC2" s="1251" t="e">
        <f>INDEX(PT_DIFFERENTIATION_NTAR,MATCH(A2,PT_DIFFERENTIATION_NTAR_ID,0))</f>
        <v>#N/A</v>
      </c>
      <c r="AD2" s="1252"/>
      <c r="AE2" s="1252"/>
      <c r="AF2" s="1252"/>
      <c r="AG2" s="1252"/>
      <c r="AH2" s="1252"/>
      <c r="AI2" s="1252"/>
      <c r="AJ2" s="1253"/>
      <c r="AK2"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row>
    <row r="3" spans="1:42" ht="23.25" hidden="1" customHeight="1">
      <c r="A3" s="759"/>
      <c r="B3" s="759"/>
      <c r="C3" s="759"/>
      <c r="D3" s="759"/>
      <c r="E3" s="1266"/>
      <c r="F3" s="1265">
        <v>1</v>
      </c>
      <c r="G3" s="759"/>
      <c r="H3" s="759"/>
      <c r="I3" s="759"/>
      <c r="J3" s="759"/>
      <c r="K3" s="759"/>
      <c r="L3" s="760"/>
      <c r="M3" s="417"/>
      <c r="N3" s="417"/>
      <c r="O3" s="417"/>
      <c r="P3" s="59"/>
      <c r="Q3" s="202"/>
      <c r="R3" s="203"/>
      <c r="S3" s="698" t="e">
        <f>INDEX(PT_DIFFERENTIATION_NUM_TER,MATCH(B3,PT_DIFFERENTIATION_TER_ID,0))</f>
        <v>#N/A</v>
      </c>
      <c r="T3" s="175" t="s">
        <v>396</v>
      </c>
      <c r="U3" s="169"/>
      <c r="V3" s="1251"/>
      <c r="W3" s="1252"/>
      <c r="X3" s="1252"/>
      <c r="Y3" s="1252"/>
      <c r="Z3" s="1252"/>
      <c r="AA3" s="1252"/>
      <c r="AB3" s="1253"/>
      <c r="AC3" s="1251" t="e">
        <f>INDEX(PT_DIFFERENTIATION_TER,MATCH(B3,PT_DIFFERENTIATION_TER_ID,0))</f>
        <v>#N/A</v>
      </c>
      <c r="AD3" s="1252"/>
      <c r="AE3" s="1252"/>
      <c r="AF3" s="1252"/>
      <c r="AG3" s="1252"/>
      <c r="AH3" s="1252"/>
      <c r="AI3" s="1252"/>
      <c r="AJ3" s="1253"/>
      <c r="AK3" s="718" t="s">
        <v>397</v>
      </c>
      <c r="AM3" s="69"/>
      <c r="AN3" s="69" t="str">
        <f t="shared" si="0"/>
        <v>Территория действия тарифа</v>
      </c>
      <c r="AO3" s="69"/>
      <c r="AP3" s="69"/>
    </row>
    <row r="4" spans="1:42" ht="23.25" hidden="1" customHeight="1">
      <c r="A4" s="759"/>
      <c r="B4" s="759"/>
      <c r="C4" s="759"/>
      <c r="D4" s="759"/>
      <c r="E4" s="1266"/>
      <c r="F4" s="1266"/>
      <c r="G4" s="1265">
        <v>1</v>
      </c>
      <c r="H4" s="759"/>
      <c r="I4" s="759"/>
      <c r="J4" s="759"/>
      <c r="K4" s="759"/>
      <c r="L4" s="760"/>
      <c r="M4" s="417"/>
      <c r="N4" s="417"/>
      <c r="O4" s="417"/>
      <c r="P4" s="204"/>
      <c r="Q4" s="202"/>
      <c r="R4" s="203"/>
      <c r="S4" s="698" t="e">
        <f>INDEX(PT_DIFFERENTIATION_NUM_CS,MATCH(C4,PT_DIFFERENTIATION_CS_ID,0))</f>
        <v>#N/A</v>
      </c>
      <c r="T4" s="176" t="s">
        <v>515</v>
      </c>
      <c r="U4" s="169"/>
      <c r="V4" s="1251"/>
      <c r="W4" s="1252"/>
      <c r="X4" s="1252"/>
      <c r="Y4" s="1252"/>
      <c r="Z4" s="1252"/>
      <c r="AA4" s="1252"/>
      <c r="AB4" s="1253"/>
      <c r="AC4" s="1251" t="e">
        <f>INDEX(PT_DIFFERENTIATION_CS,MATCH(C4,PT_DIFFERENTIATION_CS_ID,0))</f>
        <v>#N/A</v>
      </c>
      <c r="AD4" s="1252"/>
      <c r="AE4" s="1252"/>
      <c r="AF4" s="1252"/>
      <c r="AG4" s="1252"/>
      <c r="AH4" s="1252"/>
      <c r="AI4" s="1252"/>
      <c r="AJ4" s="1253"/>
      <c r="AK4" s="718" t="s">
        <v>516</v>
      </c>
      <c r="AM4" s="69"/>
      <c r="AN4" s="69" t="str">
        <f t="shared" si="0"/>
        <v>Наименование централизованной системы водоотведения</v>
      </c>
      <c r="AO4" s="69"/>
      <c r="AP4" s="69"/>
    </row>
    <row r="5" spans="1:42" ht="23.25" hidden="1" customHeight="1">
      <c r="A5" s="759"/>
      <c r="B5" s="759"/>
      <c r="C5" s="759"/>
      <c r="D5" s="759"/>
      <c r="E5" s="1266"/>
      <c r="F5" s="1266"/>
      <c r="G5" s="1266"/>
      <c r="H5" s="1266"/>
      <c r="I5" s="1263" t="e">
        <f>S4&amp;".1"</f>
        <v>#N/A</v>
      </c>
      <c r="J5" s="759"/>
      <c r="K5" s="759"/>
      <c r="L5" s="760"/>
      <c r="P5" s="1264">
        <v>1</v>
      </c>
      <c r="Q5" s="120"/>
      <c r="R5" s="206"/>
      <c r="S5" s="698" t="e">
        <f>$I5</f>
        <v>#N/A</v>
      </c>
      <c r="T5" s="162" t="s">
        <v>482</v>
      </c>
      <c r="U5" s="169"/>
      <c r="V5" s="1331"/>
      <c r="W5" s="1332"/>
      <c r="X5" s="1332"/>
      <c r="Y5" s="1332"/>
      <c r="Z5" s="1332"/>
      <c r="AA5" s="1332"/>
      <c r="AB5" s="1333"/>
      <c r="AC5" s="1334"/>
      <c r="AD5" s="1335"/>
      <c r="AE5" s="1335"/>
      <c r="AF5" s="1335"/>
      <c r="AG5" s="1335"/>
      <c r="AH5" s="1335"/>
      <c r="AI5" s="1335"/>
      <c r="AJ5" s="1336"/>
      <c r="AK5" s="718" t="s">
        <v>483</v>
      </c>
      <c r="AM5" s="69"/>
      <c r="AN5" s="69" t="str">
        <f t="shared" si="0"/>
        <v>Наименование признака дифференциации</v>
      </c>
      <c r="AO5" s="69"/>
      <c r="AP5" s="69"/>
    </row>
    <row r="6" spans="1:42" ht="23.25" hidden="1" customHeight="1">
      <c r="A6" s="759"/>
      <c r="B6" s="759"/>
      <c r="C6" s="759"/>
      <c r="D6" s="759"/>
      <c r="E6" s="1266"/>
      <c r="F6" s="1266"/>
      <c r="G6" s="1266"/>
      <c r="H6" s="1266"/>
      <c r="I6" s="1286"/>
      <c r="J6" s="1263" t="e">
        <f>I5&amp;".1"</f>
        <v>#N/A</v>
      </c>
      <c r="K6" s="759"/>
      <c r="L6" s="760" t="s">
        <v>405</v>
      </c>
      <c r="P6" s="1264"/>
      <c r="Q6" s="1264">
        <v>1</v>
      </c>
      <c r="R6" s="207"/>
      <c r="S6" s="698" t="e">
        <f>$J6</f>
        <v>#N/A</v>
      </c>
      <c r="T6" s="163" t="s">
        <v>406</v>
      </c>
      <c r="U6" s="169"/>
      <c r="V6" s="1254"/>
      <c r="W6" s="1255"/>
      <c r="X6" s="1255"/>
      <c r="Y6" s="1255"/>
      <c r="Z6" s="1255"/>
      <c r="AA6" s="1255"/>
      <c r="AB6" s="1256"/>
      <c r="AC6" s="1254"/>
      <c r="AD6" s="1255"/>
      <c r="AE6" s="1255"/>
      <c r="AF6" s="1255"/>
      <c r="AG6" s="1255"/>
      <c r="AH6" s="1255"/>
      <c r="AI6" s="1255"/>
      <c r="AJ6" s="1256"/>
      <c r="AK6" s="743" t="s">
        <v>484</v>
      </c>
      <c r="AM6" s="69"/>
      <c r="AN6" s="69" t="str">
        <f t="shared" si="0"/>
        <v>Группа потребителей</v>
      </c>
      <c r="AO6" s="69"/>
      <c r="AP6" s="69"/>
    </row>
    <row r="7" spans="1:42" ht="23.25" hidden="1" customHeight="1">
      <c r="A7" s="759"/>
      <c r="B7" s="759"/>
      <c r="C7" s="759"/>
      <c r="D7" s="759"/>
      <c r="E7" s="1266"/>
      <c r="F7" s="1266"/>
      <c r="G7" s="1266"/>
      <c r="H7" s="1266"/>
      <c r="I7" s="1286"/>
      <c r="J7" s="1286"/>
      <c r="K7" s="1263" t="e">
        <f>J6&amp;".1"</f>
        <v>#N/A</v>
      </c>
      <c r="L7" s="760"/>
      <c r="P7" s="1264"/>
      <c r="Q7" s="1264"/>
      <c r="R7" s="207">
        <v>1</v>
      </c>
      <c r="S7" s="698" t="e">
        <f>$K7</f>
        <v>#N/A</v>
      </c>
      <c r="T7" s="802"/>
      <c r="U7" s="169"/>
      <c r="V7" s="304"/>
      <c r="W7" s="304"/>
      <c r="X7" s="717"/>
      <c r="Y7" s="1268"/>
      <c r="Z7" s="1127" t="s">
        <v>62</v>
      </c>
      <c r="AA7" s="1268"/>
      <c r="AB7" s="1127" t="s">
        <v>62</v>
      </c>
      <c r="AC7" s="304"/>
      <c r="AD7" s="304"/>
      <c r="AE7" s="717"/>
      <c r="AF7" s="1268"/>
      <c r="AG7" s="1127" t="s">
        <v>62</v>
      </c>
      <c r="AH7" s="1287"/>
      <c r="AI7" s="1127" t="s">
        <v>62</v>
      </c>
      <c r="AJ7" s="803"/>
      <c r="AK7" s="1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row>
    <row r="8" spans="1:42" ht="14.25" hidden="1" customHeight="1">
      <c r="A8" s="759"/>
      <c r="B8" s="759"/>
      <c r="C8" s="759"/>
      <c r="D8" s="759"/>
      <c r="E8" s="1266"/>
      <c r="F8" s="1266"/>
      <c r="G8" s="1266"/>
      <c r="H8" s="1266"/>
      <c r="I8" s="1286"/>
      <c r="J8" s="1286"/>
      <c r="K8" s="1263"/>
      <c r="L8" s="760"/>
      <c r="P8" s="1264"/>
      <c r="Q8" s="1264"/>
      <c r="R8" s="207"/>
      <c r="S8" s="65"/>
      <c r="T8" s="169"/>
      <c r="U8" s="169"/>
      <c r="V8" s="189"/>
      <c r="W8" s="189"/>
      <c r="X8" s="190" t="str">
        <f>Y7&amp;"-"&amp;AA7</f>
        <v>-</v>
      </c>
      <c r="Y8" s="1269"/>
      <c r="Z8" s="1127"/>
      <c r="AA8" s="1269"/>
      <c r="AB8" s="1127"/>
      <c r="AC8" s="189"/>
      <c r="AD8" s="189"/>
      <c r="AE8" s="190" t="str">
        <f>AF7&amp;"-"&amp;AH7</f>
        <v>-</v>
      </c>
      <c r="AF8" s="1269"/>
      <c r="AG8" s="1127"/>
      <c r="AH8" s="1288"/>
      <c r="AI8" s="1127"/>
      <c r="AJ8" s="379"/>
      <c r="AK8" s="1330"/>
      <c r="AM8" s="69"/>
      <c r="AN8" s="69" t="str">
        <f t="shared" si="0"/>
        <v/>
      </c>
      <c r="AO8" s="69"/>
      <c r="AP8" s="69"/>
    </row>
    <row r="9" spans="1:42" ht="21" hidden="1" customHeight="1">
      <c r="A9" s="759"/>
      <c r="B9" s="759"/>
      <c r="C9" s="759"/>
      <c r="D9" s="759"/>
      <c r="E9" s="1266"/>
      <c r="F9" s="1266"/>
      <c r="G9" s="1266"/>
      <c r="H9" s="1266"/>
      <c r="I9" s="1286"/>
      <c r="J9" s="1263"/>
      <c r="K9" s="759"/>
      <c r="L9" s="760"/>
      <c r="P9" s="1264"/>
      <c r="Q9" s="1264"/>
      <c r="R9" s="206"/>
      <c r="S9" s="732"/>
      <c r="T9" s="164" t="s">
        <v>485</v>
      </c>
      <c r="U9" s="211"/>
      <c r="V9" s="211"/>
      <c r="W9" s="211"/>
      <c r="X9" s="211"/>
      <c r="Y9" s="211"/>
      <c r="Z9" s="211"/>
      <c r="AA9" s="211"/>
      <c r="AB9" s="211"/>
      <c r="AC9" s="211"/>
      <c r="AD9" s="211"/>
      <c r="AE9" s="211"/>
      <c r="AF9" s="211"/>
      <c r="AG9" s="211"/>
      <c r="AH9" s="211"/>
      <c r="AI9" s="211"/>
      <c r="AJ9" s="211"/>
      <c r="AK9" s="718" t="s">
        <v>486</v>
      </c>
      <c r="AM9" s="69"/>
      <c r="AN9" s="69" t="str">
        <f t="shared" si="0"/>
        <v>Добавить значение признака дифференциации</v>
      </c>
      <c r="AO9" s="69"/>
      <c r="AP9" s="69"/>
    </row>
    <row r="10" spans="1:42" ht="21" hidden="1" customHeight="1">
      <c r="A10" s="759"/>
      <c r="B10" s="759"/>
      <c r="C10" s="759"/>
      <c r="D10" s="759"/>
      <c r="E10" s="1266"/>
      <c r="F10" s="1266"/>
      <c r="G10" s="1266"/>
      <c r="H10" s="1266"/>
      <c r="I10" s="1263"/>
      <c r="J10" s="759"/>
      <c r="K10" s="759"/>
      <c r="L10" s="760"/>
      <c r="P10" s="1264"/>
      <c r="Q10" s="120"/>
      <c r="R10" s="206"/>
      <c r="S10" s="732"/>
      <c r="T10" s="209" t="s">
        <v>411</v>
      </c>
      <c r="U10" s="211"/>
      <c r="V10" s="211"/>
      <c r="W10" s="211"/>
      <c r="X10" s="211"/>
      <c r="Y10" s="211"/>
      <c r="Z10" s="211"/>
      <c r="AA10" s="211"/>
      <c r="AB10" s="210"/>
      <c r="AC10" s="211"/>
      <c r="AD10" s="211"/>
      <c r="AE10" s="211"/>
      <c r="AF10" s="211"/>
      <c r="AG10" s="211"/>
      <c r="AH10" s="211"/>
      <c r="AI10" s="210"/>
      <c r="AJ10" s="211"/>
      <c r="AK10" s="804"/>
      <c r="AM10" s="69"/>
      <c r="AN10" s="69" t="str">
        <f t="shared" si="0"/>
        <v>Добавить группу потребителей</v>
      </c>
      <c r="AO10" s="69"/>
      <c r="AP10" s="69"/>
    </row>
    <row r="11" spans="1:42" ht="21" hidden="1" customHeight="1">
      <c r="A11" s="759"/>
      <c r="B11" s="759"/>
      <c r="C11" s="759"/>
      <c r="D11" s="759"/>
      <c r="E11" s="1266"/>
      <c r="F11" s="1266"/>
      <c r="G11" s="1266"/>
      <c r="H11" s="1265"/>
      <c r="I11" s="759"/>
      <c r="J11" s="759"/>
      <c r="K11" s="759"/>
      <c r="L11" s="760"/>
      <c r="M11" s="417"/>
      <c r="N11" s="417"/>
      <c r="O11" s="63"/>
      <c r="P11" s="35"/>
      <c r="Q11" s="214"/>
      <c r="R11" s="205"/>
      <c r="S11" s="732"/>
      <c r="T11" s="105" t="s">
        <v>487</v>
      </c>
      <c r="U11" s="211"/>
      <c r="V11" s="211"/>
      <c r="W11" s="211"/>
      <c r="X11" s="211"/>
      <c r="Y11" s="211"/>
      <c r="Z11" s="211"/>
      <c r="AA11" s="211"/>
      <c r="AB11" s="210"/>
      <c r="AC11" s="211"/>
      <c r="AD11" s="211"/>
      <c r="AE11" s="211"/>
      <c r="AF11" s="211"/>
      <c r="AG11" s="211"/>
      <c r="AH11" s="211"/>
      <c r="AI11" s="210"/>
      <c r="AJ11" s="211"/>
      <c r="AK11" s="172"/>
      <c r="AM11" s="69"/>
      <c r="AN11" s="69" t="str">
        <f t="shared" si="0"/>
        <v>Добавить наименование признака дифференциации</v>
      </c>
      <c r="AO11" s="69"/>
      <c r="AP11" s="69"/>
    </row>
    <row r="12" spans="1:42" s="68" customFormat="1" ht="14.25" hidden="1" customHeight="1">
      <c r="A12" s="143"/>
      <c r="B12" s="143"/>
      <c r="C12" s="143"/>
      <c r="D12" s="143"/>
      <c r="E12" s="1266"/>
      <c r="F12" s="1265"/>
      <c r="G12" s="143"/>
      <c r="H12" s="143"/>
      <c r="I12" s="143"/>
      <c r="J12" s="143"/>
      <c r="K12" s="143"/>
      <c r="L12" s="338"/>
      <c r="M12" s="749"/>
      <c r="N12" s="749"/>
      <c r="P12" s="102"/>
      <c r="Q12" s="745"/>
      <c r="R12" s="102"/>
      <c r="S12" s="750"/>
      <c r="T12" s="752" t="s">
        <v>414</v>
      </c>
      <c r="U12" s="311"/>
      <c r="V12" s="311"/>
      <c r="W12" s="311"/>
      <c r="X12" s="311"/>
      <c r="Y12" s="311"/>
      <c r="Z12" s="311"/>
      <c r="AA12" s="311"/>
      <c r="AB12" s="311"/>
      <c r="AC12" s="311"/>
      <c r="AD12" s="311"/>
      <c r="AE12" s="311"/>
      <c r="AF12" s="311"/>
      <c r="AG12" s="311"/>
      <c r="AH12" s="311"/>
      <c r="AI12" s="311"/>
      <c r="AJ12" s="311"/>
      <c r="AK12" s="311"/>
      <c r="AM12" s="69"/>
      <c r="AN12" s="69" t="str">
        <f t="shared" si="0"/>
        <v>Добавить централизованную систему для дифференциации</v>
      </c>
      <c r="AO12" s="69"/>
      <c r="AP12" s="69"/>
    </row>
    <row r="13" spans="1:42" s="68" customFormat="1" ht="14.25" hidden="1" customHeight="1">
      <c r="A13" s="143"/>
      <c r="B13" s="143"/>
      <c r="C13" s="143"/>
      <c r="D13" s="143"/>
      <c r="E13" s="1265"/>
      <c r="F13" s="143"/>
      <c r="G13" s="143"/>
      <c r="H13" s="143"/>
      <c r="I13" s="143"/>
      <c r="J13" s="143"/>
      <c r="K13" s="143"/>
      <c r="L13" s="338"/>
      <c r="M13" s="749"/>
      <c r="N13" s="749"/>
      <c r="P13" s="102"/>
      <c r="Q13" s="745"/>
      <c r="R13" s="102"/>
      <c r="S13" s="750"/>
      <c r="T13" s="752" t="s">
        <v>415</v>
      </c>
      <c r="U13" s="311"/>
      <c r="V13" s="311"/>
      <c r="W13" s="311"/>
      <c r="X13" s="311"/>
      <c r="Y13" s="311"/>
      <c r="Z13" s="311"/>
      <c r="AA13" s="311"/>
      <c r="AB13" s="311"/>
      <c r="AC13" s="311"/>
      <c r="AD13" s="311"/>
      <c r="AE13" s="311"/>
      <c r="AF13" s="311"/>
      <c r="AG13" s="311"/>
      <c r="AH13" s="311"/>
      <c r="AI13" s="311"/>
      <c r="AJ13" s="311"/>
      <c r="AK13" s="311"/>
      <c r="AM13" s="69"/>
      <c r="AN13" s="69" t="str">
        <f t="shared" si="0"/>
        <v>Добавить территорию для дифференциации</v>
      </c>
      <c r="AO13" s="69"/>
      <c r="AP13" s="69"/>
    </row>
    <row r="14" spans="1:42" ht="14.25" hidden="1" customHeight="1"/>
    <row r="15" spans="1:42" ht="14.25" hidden="1" customHeight="1">
      <c r="AC15" s="359"/>
      <c r="AD15" s="359"/>
      <c r="AE15" s="758"/>
      <c r="AF15" s="1270"/>
      <c r="AG15" s="1271" t="s">
        <v>62</v>
      </c>
      <c r="AH15" s="1270"/>
      <c r="AI15" s="1271" t="s">
        <v>62</v>
      </c>
    </row>
    <row r="16" spans="1:42" ht="14.25" hidden="1" customHeight="1">
      <c r="AC16" s="359"/>
      <c r="AD16" s="359"/>
      <c r="AE16" s="190" t="str">
        <f>AF15&amp;"-"&amp;AH15</f>
        <v>-</v>
      </c>
      <c r="AF16" s="1271"/>
      <c r="AG16" s="1271"/>
      <c r="AH16" s="1271"/>
      <c r="AI16" s="1271"/>
    </row>
    <row r="17" spans="1:42" ht="14.25" hidden="1" customHeight="1"/>
    <row r="18" spans="1:42" s="63" customFormat="1" ht="22.5" hidden="1" customHeight="1">
      <c r="L18" s="299"/>
      <c r="M18" s="497"/>
      <c r="N18" s="497"/>
      <c r="O18" s="761" t="s">
        <v>416</v>
      </c>
      <c r="P18" s="497"/>
      <c r="Q18" s="762"/>
      <c r="R18" s="762"/>
      <c r="S18" s="417"/>
      <c r="Y18" s="761"/>
      <c r="AA18" s="761"/>
      <c r="AF18" s="761"/>
      <c r="AH18" s="761"/>
      <c r="AL18" s="68"/>
      <c r="AM18" s="68"/>
      <c r="AN18" s="68"/>
      <c r="AO18" s="68"/>
      <c r="AP18" s="68"/>
    </row>
    <row r="19" spans="1:42" s="63" customFormat="1" ht="14.25" hidden="1" customHeight="1">
      <c r="L19" s="299"/>
      <c r="M19" s="497"/>
      <c r="N19" s="497"/>
      <c r="O19" s="497"/>
      <c r="P19" s="497"/>
      <c r="Q19" s="762"/>
      <c r="R19" s="762"/>
      <c r="S19" s="417"/>
      <c r="AL19" s="68"/>
      <c r="AM19" s="68"/>
      <c r="AN19" s="68"/>
      <c r="AO19" s="68"/>
      <c r="AP19" s="68"/>
    </row>
    <row r="20" spans="1:42" s="63" customFormat="1" ht="12" hidden="1" customHeight="1">
      <c r="L20" s="299"/>
      <c r="M20" s="497"/>
      <c r="N20" s="497"/>
      <c r="O20" s="760" t="s">
        <v>417</v>
      </c>
      <c r="P20" s="497"/>
      <c r="Q20" s="805"/>
      <c r="R20" s="805"/>
      <c r="S20" s="417"/>
      <c r="T20" s="63" t="s">
        <v>418</v>
      </c>
      <c r="Z20" s="81" t="s">
        <v>419</v>
      </c>
      <c r="AB20" s="81" t="s">
        <v>420</v>
      </c>
      <c r="AC20" s="63" t="s">
        <v>418</v>
      </c>
      <c r="AG20" s="81" t="s">
        <v>421</v>
      </c>
      <c r="AI20" s="81" t="s">
        <v>420</v>
      </c>
    </row>
    <row r="21" spans="1:42" ht="14.25" hidden="1" customHeight="1">
      <c r="O21" s="760"/>
    </row>
    <row r="22" spans="1:42" ht="14.25" hidden="1" customHeight="1">
      <c r="O22" s="760"/>
    </row>
    <row r="23" spans="1:42" ht="14.25" customHeight="1">
      <c r="Q23" s="29"/>
      <c r="R23" s="29"/>
      <c r="S23" s="729"/>
      <c r="T23" s="11"/>
      <c r="U23" s="11"/>
    </row>
    <row r="24" spans="1:42" ht="14.25" customHeight="1">
      <c r="Q24" s="29"/>
      <c r="R24" s="29"/>
      <c r="S24" s="1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49"/>
      <c r="U24" s="1249"/>
      <c r="V24" s="1249"/>
      <c r="W24" s="1249"/>
      <c r="X24" s="1249"/>
      <c r="Y24" s="1249"/>
      <c r="Z24" s="1249"/>
      <c r="AA24" s="1249"/>
      <c r="AB24" s="1249"/>
      <c r="AC24" s="1249"/>
      <c r="AD24" s="1249"/>
      <c r="AE24" s="1249"/>
      <c r="AF24" s="1249"/>
      <c r="AG24" s="1249"/>
      <c r="AH24" s="1249"/>
      <c r="AI24" s="60"/>
    </row>
    <row r="25" spans="1:42" ht="14.25" customHeight="1">
      <c r="Q25" s="29"/>
      <c r="R25" s="29"/>
      <c r="S25" s="1194" t="str">
        <f>IF(org=0,"Не определено",org)</f>
        <v>АО "ХТК"</v>
      </c>
      <c r="T25" s="1194"/>
      <c r="U25" s="1194"/>
      <c r="V25" s="1194"/>
      <c r="W25" s="1194"/>
      <c r="X25" s="1194"/>
      <c r="Y25" s="1194"/>
      <c r="Z25" s="1194"/>
      <c r="AA25" s="1194"/>
      <c r="AB25" s="1194"/>
      <c r="AC25" s="1194"/>
      <c r="AD25" s="1194"/>
      <c r="AE25" s="1194"/>
      <c r="AF25" s="1194"/>
      <c r="AG25" s="1194"/>
      <c r="AH25" s="1194"/>
      <c r="AI25" s="60"/>
    </row>
    <row r="26" spans="1:42" ht="14.25" hidden="1" customHeight="1">
      <c r="Q26" s="29"/>
      <c r="R26" s="29"/>
      <c r="S26" s="729"/>
      <c r="T26" s="11"/>
      <c r="U26" s="11"/>
      <c r="V26" s="187"/>
      <c r="W26" s="187"/>
      <c r="X26" s="187"/>
      <c r="Y26" s="187"/>
      <c r="Z26" s="187"/>
      <c r="AA26" s="187"/>
      <c r="AB26" s="187"/>
      <c r="AC26" s="187"/>
      <c r="AD26" s="187"/>
      <c r="AE26" s="187"/>
      <c r="AF26" s="187"/>
      <c r="AG26" s="187"/>
      <c r="AH26" s="187"/>
      <c r="AI26" s="187"/>
    </row>
    <row r="27" spans="1:42" s="36" customFormat="1" ht="25.5" hidden="1" customHeight="1">
      <c r="A27" s="81"/>
      <c r="B27" s="81"/>
      <c r="C27" s="81"/>
      <c r="D27" s="81"/>
      <c r="E27" s="81"/>
      <c r="F27" s="81"/>
      <c r="G27" s="81"/>
      <c r="H27" s="81"/>
      <c r="I27" s="81"/>
      <c r="J27" s="81"/>
      <c r="K27" s="81"/>
      <c r="L27" s="760"/>
      <c r="M27" s="81"/>
      <c r="N27" s="81"/>
      <c r="O27" s="81"/>
      <c r="S27" s="1257" t="s">
        <v>37</v>
      </c>
      <c r="T27" s="1257"/>
      <c r="U27" s="763"/>
      <c r="V27" s="1258" t="str">
        <f>IF(TITLE_NAME_OR_PR_CHANGE="",IF(TITLE_NAME_OR_PR="","",TITLE_NAME_OR_PR),TITLE_NAME_OR_PR_CHANGE)</f>
        <v/>
      </c>
      <c r="W27" s="1258"/>
      <c r="X27" s="1258"/>
      <c r="Y27" s="1258"/>
      <c r="Z27" s="1258"/>
      <c r="AA27" s="1258"/>
      <c r="AB27" s="12"/>
      <c r="AC27" s="1258" t="str">
        <f>IF(TITLE_NAME_OR_PR_CHANGE="",IF(TITLE_NAME_OR_PR="","",TITLE_NAME_OR_PR),TITLE_NAME_OR_PR_CHANGE)</f>
        <v/>
      </c>
      <c r="AD27" s="1258"/>
      <c r="AE27" s="1258"/>
      <c r="AF27" s="1258"/>
      <c r="AG27" s="1258"/>
      <c r="AH27" s="1258"/>
      <c r="AI27" s="12"/>
      <c r="AJ27" s="12"/>
      <c r="AK27" s="161"/>
      <c r="AL27" s="69"/>
      <c r="AM27" s="69"/>
      <c r="AN27" s="69"/>
      <c r="AO27" s="69"/>
      <c r="AP27" s="69"/>
    </row>
    <row r="28" spans="1:42" s="36" customFormat="1" ht="18.75" hidden="1" customHeight="1">
      <c r="A28" s="81"/>
      <c r="B28" s="81"/>
      <c r="C28" s="81"/>
      <c r="D28" s="81"/>
      <c r="E28" s="81"/>
      <c r="F28" s="81"/>
      <c r="G28" s="81"/>
      <c r="H28" s="81"/>
      <c r="I28" s="81"/>
      <c r="J28" s="81"/>
      <c r="K28" s="81"/>
      <c r="L28" s="760"/>
      <c r="M28" s="81"/>
      <c r="N28" s="81"/>
      <c r="O28" s="81"/>
      <c r="S28" s="1257" t="s">
        <v>422</v>
      </c>
      <c r="T28" s="1257"/>
      <c r="U28" s="763"/>
      <c r="V28" s="1267" t="str">
        <f>IF(TITLE_DATE_PR_CHANGE="",IF(TITLE_DATE_PR="","",TITLE_DATE_PR),TITLE_DATE_PR_CHANGE)</f>
        <v/>
      </c>
      <c r="W28" s="1267"/>
      <c r="X28" s="1267"/>
      <c r="Y28" s="1267"/>
      <c r="Z28" s="1267"/>
      <c r="AA28" s="1267"/>
      <c r="AB28" s="12"/>
      <c r="AC28" s="1267" t="str">
        <f>IF(TITLE_DATE_PR_CHANGE="",IF(TITLE_DATE_PR="","",TITLE_DATE_PR),TITLE_DATE_PR_CHANGE)</f>
        <v/>
      </c>
      <c r="AD28" s="1267"/>
      <c r="AE28" s="1267"/>
      <c r="AF28" s="1267"/>
      <c r="AG28" s="1267"/>
      <c r="AH28" s="1267"/>
      <c r="AI28" s="12"/>
      <c r="AJ28" s="12"/>
      <c r="AK28" s="161"/>
      <c r="AL28" s="69"/>
      <c r="AM28" s="69"/>
      <c r="AN28" s="69"/>
      <c r="AO28" s="69"/>
      <c r="AP28" s="69"/>
    </row>
    <row r="29" spans="1:42" s="36" customFormat="1" ht="18.75" hidden="1" customHeight="1">
      <c r="A29" s="81"/>
      <c r="B29" s="81"/>
      <c r="C29" s="81"/>
      <c r="D29" s="81"/>
      <c r="E29" s="81"/>
      <c r="F29" s="81"/>
      <c r="G29" s="81"/>
      <c r="H29" s="81"/>
      <c r="I29" s="81"/>
      <c r="J29" s="81"/>
      <c r="K29" s="81"/>
      <c r="L29" s="760"/>
      <c r="M29" s="81"/>
      <c r="N29" s="81"/>
      <c r="O29" s="81"/>
      <c r="S29" s="1257" t="s">
        <v>423</v>
      </c>
      <c r="T29" s="1257"/>
      <c r="U29" s="763"/>
      <c r="V29" s="1258" t="str">
        <f>IF(TITLE_NUMBER_PR_CHANGE="",IF(TITLE_NUMBER_PR="","",TITLE_NUMBER_PR),TITLE_NUMBER_PR_CHANGE)</f>
        <v/>
      </c>
      <c r="W29" s="1258"/>
      <c r="X29" s="1258"/>
      <c r="Y29" s="1258"/>
      <c r="Z29" s="1258"/>
      <c r="AA29" s="1258"/>
      <c r="AB29" s="12"/>
      <c r="AC29" s="1258" t="str">
        <f>IF(TITLE_NUMBER_PR_CHANGE="",IF(TITLE_NUMBER_PR="","",TITLE_NUMBER_PR),TITLE_NUMBER_PR_CHANGE)</f>
        <v/>
      </c>
      <c r="AD29" s="1258"/>
      <c r="AE29" s="1258"/>
      <c r="AF29" s="1258"/>
      <c r="AG29" s="1258"/>
      <c r="AH29" s="1258"/>
      <c r="AI29" s="12"/>
      <c r="AJ29" s="12"/>
      <c r="AK29" s="161"/>
      <c r="AL29" s="69"/>
      <c r="AM29" s="69"/>
      <c r="AN29" s="69"/>
      <c r="AO29" s="69"/>
      <c r="AP29" s="69"/>
    </row>
    <row r="30" spans="1:42" s="36" customFormat="1" ht="18.75" hidden="1" customHeight="1">
      <c r="A30" s="81"/>
      <c r="B30" s="81"/>
      <c r="C30" s="81"/>
      <c r="D30" s="81"/>
      <c r="E30" s="81"/>
      <c r="F30" s="81"/>
      <c r="G30" s="81"/>
      <c r="H30" s="81"/>
      <c r="I30" s="81"/>
      <c r="J30" s="81"/>
      <c r="K30" s="81"/>
      <c r="L30" s="760"/>
      <c r="M30" s="81"/>
      <c r="N30" s="81"/>
      <c r="O30" s="81"/>
      <c r="S30" s="1257" t="s">
        <v>38</v>
      </c>
      <c r="T30" s="1257"/>
      <c r="U30" s="763"/>
      <c r="V30" s="1258" t="str">
        <f>IF(TITLE_IST_PUB_CHANGE="",IF(TITLE_IST_PUB="","",TITLE_IST_PUB),TITLE_IST_PUB_CHANGE)</f>
        <v/>
      </c>
      <c r="W30" s="1258"/>
      <c r="X30" s="1258"/>
      <c r="Y30" s="1258"/>
      <c r="Z30" s="1258"/>
      <c r="AA30" s="1258"/>
      <c r="AB30" s="12"/>
      <c r="AC30" s="1258" t="str">
        <f>IF(TITLE_IST_PUB_CHANGE="",IF(TITLE_IST_PUB="","",TITLE_IST_PUB),TITLE_IST_PUB_CHANGE)</f>
        <v/>
      </c>
      <c r="AD30" s="1258"/>
      <c r="AE30" s="1258"/>
      <c r="AF30" s="1258"/>
      <c r="AG30" s="1258"/>
      <c r="AH30" s="1258"/>
      <c r="AI30" s="12"/>
      <c r="AJ30" s="12"/>
      <c r="AK30" s="161"/>
      <c r="AL30" s="69"/>
      <c r="AM30" s="69"/>
      <c r="AN30" s="69"/>
      <c r="AO30" s="69"/>
      <c r="AP30" s="69"/>
    </row>
    <row r="31" spans="1:42" ht="14.25" hidden="1" customHeight="1">
      <c r="Q31" s="29"/>
      <c r="R31" s="29"/>
      <c r="S31" s="729"/>
      <c r="T31" s="11"/>
      <c r="U31" s="11"/>
      <c r="V31" s="187"/>
      <c r="W31" s="187"/>
      <c r="X31" s="187"/>
      <c r="Y31" s="187"/>
      <c r="Z31" s="187"/>
      <c r="AA31" s="187"/>
      <c r="AB31" s="187"/>
      <c r="AC31" s="187"/>
      <c r="AD31" s="187"/>
      <c r="AE31" s="187"/>
      <c r="AF31" s="187"/>
      <c r="AG31" s="187"/>
      <c r="AH31" s="187"/>
      <c r="AI31" s="187"/>
    </row>
    <row r="32" spans="1:42" s="36" customFormat="1" ht="18.75" hidden="1" customHeight="1">
      <c r="A32" s="81"/>
      <c r="B32" s="81"/>
      <c r="C32" s="81"/>
      <c r="D32" s="81"/>
      <c r="E32" s="81"/>
      <c r="F32" s="81"/>
      <c r="G32" s="81"/>
      <c r="H32" s="81"/>
      <c r="I32" s="81"/>
      <c r="J32" s="81"/>
      <c r="K32" s="81"/>
      <c r="L32" s="760"/>
      <c r="M32" s="81"/>
      <c r="N32" s="81"/>
      <c r="O32" s="81"/>
      <c r="S32" s="1257" t="s">
        <v>424</v>
      </c>
      <c r="T32" s="1257"/>
      <c r="U32" s="763"/>
      <c r="V32" s="1267" t="str">
        <f>IF(TITLE_DATE_PR_CHANGE="",IF(TITLE_DATE_PR="","",TITLE_DATE_PR),TITLE_DATE_PR_CHANGE)</f>
        <v/>
      </c>
      <c r="W32" s="1267"/>
      <c r="X32" s="1267"/>
      <c r="Y32" s="1267"/>
      <c r="Z32" s="1267"/>
      <c r="AA32" s="1267"/>
      <c r="AB32" s="12"/>
      <c r="AC32" s="1267" t="str">
        <f>IF(TITLE_DATE_PR_CHANGE="",IF(TITLE_DATE_PR="","",TITLE_DATE_PR),TITLE_DATE_PR_CHANGE)</f>
        <v/>
      </c>
      <c r="AD32" s="1267"/>
      <c r="AE32" s="1267"/>
      <c r="AF32" s="1267"/>
      <c r="AG32" s="1267"/>
      <c r="AH32" s="1267"/>
      <c r="AI32" s="12"/>
      <c r="AJ32" s="12"/>
      <c r="AK32" s="161"/>
      <c r="AL32" s="69"/>
      <c r="AM32" s="69"/>
      <c r="AN32" s="69"/>
      <c r="AO32" s="69"/>
      <c r="AP32" s="69"/>
    </row>
    <row r="33" spans="1:42" s="36" customFormat="1" ht="18.75" hidden="1" customHeight="1">
      <c r="A33" s="81"/>
      <c r="B33" s="81"/>
      <c r="C33" s="81"/>
      <c r="D33" s="81"/>
      <c r="E33" s="81"/>
      <c r="F33" s="81"/>
      <c r="G33" s="81"/>
      <c r="H33" s="81"/>
      <c r="I33" s="81"/>
      <c r="J33" s="81"/>
      <c r="K33" s="81"/>
      <c r="L33" s="760"/>
      <c r="M33" s="81"/>
      <c r="N33" s="81"/>
      <c r="O33" s="81"/>
      <c r="S33" s="1257" t="s">
        <v>425</v>
      </c>
      <c r="T33" s="1257"/>
      <c r="U33" s="763"/>
      <c r="V33" s="1258" t="str">
        <f>IF(TITLE_NUMBER_PR_CHANGE="",IF(TITLE_NUMBER_PR="","",TITLE_NUMBER_PR),TITLE_NUMBER_PR_CHANGE)</f>
        <v/>
      </c>
      <c r="W33" s="1258"/>
      <c r="X33" s="1258"/>
      <c r="Y33" s="1258"/>
      <c r="Z33" s="1258"/>
      <c r="AA33" s="1258"/>
      <c r="AB33" s="12"/>
      <c r="AC33" s="1258" t="str">
        <f>IF(TITLE_NUMBER_PR_CHANGE="",IF(TITLE_NUMBER_PR="","",TITLE_NUMBER_PR),TITLE_NUMBER_PR_CHANGE)</f>
        <v/>
      </c>
      <c r="AD33" s="1258"/>
      <c r="AE33" s="1258"/>
      <c r="AF33" s="1258"/>
      <c r="AG33" s="1258"/>
      <c r="AH33" s="1258"/>
      <c r="AI33" s="12"/>
      <c r="AJ33" s="12"/>
      <c r="AK33" s="161"/>
      <c r="AL33" s="69"/>
      <c r="AM33" s="69"/>
      <c r="AN33" s="69"/>
      <c r="AO33" s="69"/>
      <c r="AP33" s="69"/>
    </row>
    <row r="34" spans="1:42" s="36" customFormat="1" ht="0.75" customHeight="1">
      <c r="A34" s="81"/>
      <c r="B34" s="81"/>
      <c r="C34" s="81"/>
      <c r="D34" s="81"/>
      <c r="E34" s="81"/>
      <c r="F34" s="81"/>
      <c r="G34" s="81"/>
      <c r="H34" s="81"/>
      <c r="I34" s="81"/>
      <c r="J34" s="81"/>
      <c r="K34" s="81"/>
      <c r="L34" s="760"/>
      <c r="M34" s="81"/>
      <c r="N34" s="81"/>
      <c r="O34" s="81"/>
      <c r="S34" s="12"/>
      <c r="T34" s="12"/>
      <c r="U34" s="77"/>
      <c r="V34" s="12"/>
      <c r="W34" s="12"/>
      <c r="X34" s="12"/>
      <c r="Y34" s="12"/>
      <c r="Z34" s="12"/>
      <c r="AA34" s="12"/>
      <c r="AB34" s="68" t="s">
        <v>426</v>
      </c>
      <c r="AC34" s="12"/>
      <c r="AD34" s="12"/>
      <c r="AE34" s="12"/>
      <c r="AF34" s="12"/>
      <c r="AG34" s="12"/>
      <c r="AH34" s="12"/>
      <c r="AI34" s="68" t="s">
        <v>426</v>
      </c>
      <c r="AL34" s="69"/>
      <c r="AM34" s="69"/>
      <c r="AN34" s="69"/>
      <c r="AO34" s="69"/>
      <c r="AP34" s="69"/>
    </row>
    <row r="35" spans="1:42" ht="14.25" customHeight="1">
      <c r="Q35" s="29"/>
      <c r="R35" s="29"/>
      <c r="S35" s="729"/>
      <c r="T35" s="11"/>
      <c r="U35" s="709"/>
      <c r="V35" s="1259"/>
      <c r="W35" s="1259"/>
      <c r="X35" s="1259"/>
      <c r="Y35" s="1259"/>
      <c r="Z35" s="1259"/>
      <c r="AA35" s="1259"/>
      <c r="AB35" s="1259"/>
      <c r="AC35" s="1259"/>
      <c r="AD35" s="1259"/>
      <c r="AE35" s="1259"/>
      <c r="AF35" s="1259"/>
      <c r="AG35" s="1259"/>
      <c r="AH35" s="1259"/>
      <c r="AI35" s="1259"/>
    </row>
    <row r="36" spans="1:42" ht="14.25" customHeight="1">
      <c r="Q36" s="29"/>
      <c r="R36" s="29"/>
      <c r="S36" s="1146" t="s">
        <v>299</v>
      </c>
      <c r="T36" s="1146"/>
      <c r="U36" s="1146"/>
      <c r="V36" s="1146"/>
      <c r="W36" s="1146"/>
      <c r="X36" s="1146"/>
      <c r="Y36" s="1146"/>
      <c r="Z36" s="1146"/>
      <c r="AA36" s="1146"/>
      <c r="AB36" s="1146"/>
      <c r="AC36" s="1146"/>
      <c r="AD36" s="1146"/>
      <c r="AE36" s="1146"/>
      <c r="AF36" s="1146"/>
      <c r="AG36" s="1146"/>
      <c r="AH36" s="1146"/>
      <c r="AI36" s="1146"/>
      <c r="AJ36" s="1146"/>
      <c r="AK36" s="1146" t="s">
        <v>300</v>
      </c>
    </row>
    <row r="37" spans="1:42" ht="14.25" customHeight="1">
      <c r="Q37" s="29"/>
      <c r="R37" s="29"/>
      <c r="S37" s="1273" t="s">
        <v>84</v>
      </c>
      <c r="T37" s="1224" t="s">
        <v>427</v>
      </c>
      <c r="U37" s="170"/>
      <c r="V37" s="1274" t="s">
        <v>428</v>
      </c>
      <c r="W37" s="1275"/>
      <c r="X37" s="1275"/>
      <c r="Y37" s="1275"/>
      <c r="Z37" s="1275"/>
      <c r="AA37" s="1276"/>
      <c r="AB37" s="1277" t="s">
        <v>429</v>
      </c>
      <c r="AC37" s="1274" t="s">
        <v>428</v>
      </c>
      <c r="AD37" s="1275"/>
      <c r="AE37" s="1275"/>
      <c r="AF37" s="1275"/>
      <c r="AG37" s="1275"/>
      <c r="AH37" s="1276"/>
      <c r="AI37" s="1277" t="s">
        <v>430</v>
      </c>
      <c r="AJ37" s="1280" t="s">
        <v>431</v>
      </c>
      <c r="AK37" s="1146"/>
    </row>
    <row r="38" spans="1:42" ht="33.75" customHeight="1">
      <c r="Q38" s="29"/>
      <c r="R38" s="29"/>
      <c r="S38" s="1273"/>
      <c r="T38" s="1224"/>
      <c r="U38" s="595"/>
      <c r="V38" s="332" t="s">
        <v>488</v>
      </c>
      <c r="W38" s="1117" t="s">
        <v>434</v>
      </c>
      <c r="X38" s="1116"/>
      <c r="Y38" s="1117" t="s">
        <v>435</v>
      </c>
      <c r="Z38" s="1122"/>
      <c r="AA38" s="1116"/>
      <c r="AB38" s="1278"/>
      <c r="AC38" s="332" t="s">
        <v>488</v>
      </c>
      <c r="AD38" s="1117" t="s">
        <v>434</v>
      </c>
      <c r="AE38" s="1116"/>
      <c r="AF38" s="1117" t="s">
        <v>435</v>
      </c>
      <c r="AG38" s="1122"/>
      <c r="AH38" s="1116"/>
      <c r="AI38" s="1278"/>
      <c r="AJ38" s="1281"/>
      <c r="AK38" s="1146"/>
    </row>
    <row r="39" spans="1:42" ht="86.25" customHeight="1">
      <c r="A39" s="81"/>
      <c r="B39" s="81" t="s">
        <v>136</v>
      </c>
      <c r="C39" s="81" t="s">
        <v>137</v>
      </c>
      <c r="D39" s="81" t="s">
        <v>138</v>
      </c>
      <c r="E39" s="760" t="s">
        <v>436</v>
      </c>
      <c r="F39" s="760" t="s">
        <v>437</v>
      </c>
      <c r="G39" s="760" t="s">
        <v>438</v>
      </c>
      <c r="H39" s="760"/>
      <c r="I39" s="760" t="s">
        <v>489</v>
      </c>
      <c r="J39" s="760" t="s">
        <v>441</v>
      </c>
      <c r="K39" s="760" t="s">
        <v>490</v>
      </c>
      <c r="L39" s="760" t="s">
        <v>417</v>
      </c>
      <c r="Q39" s="29"/>
      <c r="R39" s="29"/>
      <c r="S39" s="1273"/>
      <c r="T39" s="1224"/>
      <c r="U39" s="171"/>
      <c r="V39" s="332" t="s">
        <v>517</v>
      </c>
      <c r="W39" s="40" t="s">
        <v>518</v>
      </c>
      <c r="X39" s="40" t="s">
        <v>493</v>
      </c>
      <c r="Y39" s="40" t="s">
        <v>445</v>
      </c>
      <c r="Z39" s="1233" t="s">
        <v>446</v>
      </c>
      <c r="AA39" s="1235"/>
      <c r="AB39" s="1279"/>
      <c r="AC39" s="332" t="s">
        <v>517</v>
      </c>
      <c r="AD39" s="40" t="s">
        <v>518</v>
      </c>
      <c r="AE39" s="40" t="s">
        <v>493</v>
      </c>
      <c r="AF39" s="40" t="s">
        <v>445</v>
      </c>
      <c r="AG39" s="1233" t="s">
        <v>446</v>
      </c>
      <c r="AH39" s="1235"/>
      <c r="AI39" s="1279"/>
      <c r="AJ39" s="1282"/>
      <c r="AK39" s="1146"/>
    </row>
    <row r="40" spans="1:42" s="201" customFormat="1" ht="0" hidden="1" customHeight="1">
      <c r="A40" s="81"/>
      <c r="B40" s="81"/>
      <c r="C40" s="81"/>
      <c r="D40" s="81"/>
      <c r="E40" s="81"/>
      <c r="F40" s="81"/>
      <c r="G40" s="81"/>
      <c r="H40" s="81"/>
      <c r="I40" s="81"/>
      <c r="J40" s="81"/>
      <c r="K40" s="81"/>
      <c r="L40" s="760"/>
      <c r="M40" s="497"/>
      <c r="N40" s="497"/>
      <c r="O40" s="497"/>
      <c r="P40" s="711"/>
      <c r="Q40" s="712"/>
      <c r="R40" s="714">
        <v>1</v>
      </c>
      <c r="S40" s="731" t="s">
        <v>105</v>
      </c>
      <c r="T40" s="715" t="s">
        <v>106</v>
      </c>
      <c r="U40" s="710" t="str">
        <f ca="1">OFFSET(U40,0,-1)</f>
        <v>2</v>
      </c>
      <c r="V40" s="716">
        <f ca="1">OFFSET(V40,0,-1)+1</f>
        <v>3</v>
      </c>
      <c r="W40" s="716">
        <f ca="1">OFFSET(W40,0,-1)+1</f>
        <v>4</v>
      </c>
      <c r="X40" s="716">
        <f ca="1">OFFSET(X40,0,-1)+1</f>
        <v>5</v>
      </c>
      <c r="Y40" s="716">
        <f ca="1">OFFSET(Y40,0,-1)+1</f>
        <v>6</v>
      </c>
      <c r="Z40" s="1272">
        <f ca="1">OFFSET(Z40,0,-1)+1</f>
        <v>7</v>
      </c>
      <c r="AA40" s="1272"/>
      <c r="AB40" s="716">
        <f ca="1">OFFSET(AB40,0,-2)+1</f>
        <v>8</v>
      </c>
      <c r="AC40" s="716">
        <f ca="1">OFFSET(AC40,0,-1)+1</f>
        <v>9</v>
      </c>
      <c r="AD40" s="716">
        <f ca="1">OFFSET(AD40,0,-1)+1</f>
        <v>10</v>
      </c>
      <c r="AE40" s="716">
        <f ca="1">OFFSET(AE40,0,-1)+1</f>
        <v>11</v>
      </c>
      <c r="AF40" s="716">
        <f ca="1">OFFSET(AF40,0,-1)+1</f>
        <v>12</v>
      </c>
      <c r="AG40" s="1272">
        <f ca="1">OFFSET(AG40,0,-1)+1</f>
        <v>13</v>
      </c>
      <c r="AH40" s="1272"/>
      <c r="AI40" s="716">
        <f ca="1">OFFSET(AI40,0,-2)+1</f>
        <v>14</v>
      </c>
      <c r="AJ40" s="710">
        <f ca="1">OFFSET(AJ40,0,-1)</f>
        <v>14</v>
      </c>
      <c r="AK40" s="716">
        <f ca="1">OFFSET(AK40,0,-1)+1</f>
        <v>15</v>
      </c>
      <c r="AL40" s="68"/>
      <c r="AM40" s="68"/>
      <c r="AN40" s="68"/>
      <c r="AO40" s="68"/>
      <c r="AP40" s="68"/>
    </row>
    <row r="41" spans="1:42" ht="23.25" customHeight="1">
      <c r="A41" s="759" t="s">
        <v>270</v>
      </c>
      <c r="B41" s="759"/>
      <c r="C41" s="759"/>
      <c r="D41" s="759"/>
      <c r="E41" s="1265">
        <v>1</v>
      </c>
      <c r="F41" s="759"/>
      <c r="G41" s="759"/>
      <c r="H41" s="759"/>
      <c r="I41" s="759"/>
      <c r="J41" s="759"/>
      <c r="K41" s="759"/>
      <c r="L41" s="760"/>
      <c r="M41" s="417"/>
      <c r="N41" s="417"/>
      <c r="O41" s="417"/>
      <c r="Q41" s="35"/>
      <c r="R41" s="205"/>
      <c r="S41" s="698">
        <f>INDEX(PT_DIFFERENTIATION_NUM_NTAR,MATCH(A41,PT_DIFFERENTIATION_NTAR_ID,0))</f>
        <v>0</v>
      </c>
      <c r="T41" s="67" t="s">
        <v>124</v>
      </c>
      <c r="U41" s="169"/>
      <c r="V41" s="1251"/>
      <c r="W41" s="1252"/>
      <c r="X41" s="1252"/>
      <c r="Y41" s="1252"/>
      <c r="Z41" s="1252"/>
      <c r="AA41" s="1252"/>
      <c r="AB41" s="1253"/>
      <c r="AC41" s="1251" t="str">
        <f>INDEX(PT_DIFFERENTIATION_NTAR,MATCH(A41,PT_DIFFERENTIATION_NTAR_ID,0))</f>
        <v/>
      </c>
      <c r="AD41" s="1252"/>
      <c r="AE41" s="1252"/>
      <c r="AF41" s="1252"/>
      <c r="AG41" s="1252"/>
      <c r="AH41" s="1252"/>
      <c r="AI41" s="1252"/>
      <c r="AJ41" s="1253"/>
      <c r="AK41"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row>
    <row r="42" spans="1:42" ht="23.25" customHeight="1">
      <c r="A42" s="759" t="s">
        <v>270</v>
      </c>
      <c r="B42" s="759" t="s">
        <v>271</v>
      </c>
      <c r="C42" s="759"/>
      <c r="D42" s="759"/>
      <c r="E42" s="1266"/>
      <c r="F42" s="1265">
        <v>1</v>
      </c>
      <c r="G42" s="759"/>
      <c r="H42" s="759"/>
      <c r="I42" s="759"/>
      <c r="J42" s="759"/>
      <c r="K42" s="759"/>
      <c r="L42" s="760"/>
      <c r="M42" s="417"/>
      <c r="N42" s="417"/>
      <c r="O42" s="417"/>
      <c r="P42" s="59"/>
      <c r="Q42" s="202"/>
      <c r="R42" s="203"/>
      <c r="S42" s="698" t="str">
        <f>INDEX(PT_DIFFERENTIATION_NUM_TER,MATCH(B42,PT_DIFFERENTIATION_TER_ID,0))</f>
        <v>.</v>
      </c>
      <c r="T42" s="175" t="s">
        <v>396</v>
      </c>
      <c r="U42" s="169"/>
      <c r="V42" s="1251"/>
      <c r="W42" s="1252"/>
      <c r="X42" s="1252"/>
      <c r="Y42" s="1252"/>
      <c r="Z42" s="1252"/>
      <c r="AA42" s="1252"/>
      <c r="AB42" s="1253"/>
      <c r="AC42" s="1251" t="str">
        <f>INDEX(PT_DIFFERENTIATION_TER,MATCH(B42,PT_DIFFERENTIATION_TER_ID,0))</f>
        <v/>
      </c>
      <c r="AD42" s="1252"/>
      <c r="AE42" s="1252"/>
      <c r="AF42" s="1252"/>
      <c r="AG42" s="1252"/>
      <c r="AH42" s="1252"/>
      <c r="AI42" s="1252"/>
      <c r="AJ42" s="1253"/>
      <c r="AK42" s="718" t="s">
        <v>397</v>
      </c>
      <c r="AM42" s="69"/>
      <c r="AN42" s="69" t="str">
        <f t="shared" si="1"/>
        <v>Территория действия тарифа</v>
      </c>
      <c r="AO42" s="69"/>
      <c r="AP42" s="69"/>
    </row>
    <row r="43" spans="1:42" ht="23.25" customHeight="1">
      <c r="A43" s="759" t="s">
        <v>270</v>
      </c>
      <c r="B43" s="759" t="s">
        <v>271</v>
      </c>
      <c r="C43" s="759" t="s">
        <v>272</v>
      </c>
      <c r="D43" s="759"/>
      <c r="E43" s="1266"/>
      <c r="F43" s="1266"/>
      <c r="G43" s="1265">
        <v>1</v>
      </c>
      <c r="H43" s="759"/>
      <c r="I43" s="759"/>
      <c r="J43" s="759"/>
      <c r="K43" s="759"/>
      <c r="L43" s="760"/>
      <c r="M43" s="417"/>
      <c r="N43" s="417"/>
      <c r="O43" s="417"/>
      <c r="P43" s="204"/>
      <c r="Q43" s="202"/>
      <c r="R43" s="203"/>
      <c r="S43" s="698" t="str">
        <f>INDEX(PT_DIFFERENTIATION_NUM_CS,MATCH(C43,PT_DIFFERENTIATION_CS_ID,0))</f>
        <v>..</v>
      </c>
      <c r="T43" s="176" t="s">
        <v>515</v>
      </c>
      <c r="U43" s="169"/>
      <c r="V43" s="1251"/>
      <c r="W43" s="1252"/>
      <c r="X43" s="1252"/>
      <c r="Y43" s="1252"/>
      <c r="Z43" s="1252"/>
      <c r="AA43" s="1252"/>
      <c r="AB43" s="1253"/>
      <c r="AC43" s="1251" t="str">
        <f>INDEX(PT_DIFFERENTIATION_CS,MATCH(C43,PT_DIFFERENTIATION_CS_ID,0))</f>
        <v/>
      </c>
      <c r="AD43" s="1252"/>
      <c r="AE43" s="1252"/>
      <c r="AF43" s="1252"/>
      <c r="AG43" s="1252"/>
      <c r="AH43" s="1252"/>
      <c r="AI43" s="1252"/>
      <c r="AJ43" s="1253"/>
      <c r="AK43" s="718" t="s">
        <v>516</v>
      </c>
      <c r="AM43" s="69"/>
      <c r="AN43" s="69" t="str">
        <f t="shared" si="1"/>
        <v>Наименование централизованной системы водоотведения</v>
      </c>
      <c r="AO43" s="69"/>
      <c r="AP43" s="69"/>
    </row>
    <row r="44" spans="1:42" ht="23.25" customHeight="1">
      <c r="A44" s="759" t="s">
        <v>270</v>
      </c>
      <c r="B44" s="759" t="s">
        <v>271</v>
      </c>
      <c r="C44" s="759" t="s">
        <v>272</v>
      </c>
      <c r="D44" s="759" t="s">
        <v>520</v>
      </c>
      <c r="E44" s="1266"/>
      <c r="F44" s="1266"/>
      <c r="G44" s="1266"/>
      <c r="H44" s="1266"/>
      <c r="I44" s="1263" t="str">
        <f>S43&amp;".1"</f>
        <v>...1</v>
      </c>
      <c r="J44" s="759"/>
      <c r="K44" s="759"/>
      <c r="L44" s="760"/>
      <c r="P44" s="1264">
        <v>1</v>
      </c>
      <c r="Q44" s="120"/>
      <c r="R44" s="206"/>
      <c r="S44" s="698" t="str">
        <f>$I44</f>
        <v>...1</v>
      </c>
      <c r="T44" s="162" t="s">
        <v>482</v>
      </c>
      <c r="U44" s="169"/>
      <c r="V44" s="1331"/>
      <c r="W44" s="1332"/>
      <c r="X44" s="1332"/>
      <c r="Y44" s="1332"/>
      <c r="Z44" s="1332"/>
      <c r="AA44" s="1332"/>
      <c r="AB44" s="1333"/>
      <c r="AC44" s="1334"/>
      <c r="AD44" s="1335"/>
      <c r="AE44" s="1335"/>
      <c r="AF44" s="1335"/>
      <c r="AG44" s="1335"/>
      <c r="AH44" s="1335"/>
      <c r="AI44" s="1335"/>
      <c r="AJ44" s="1336"/>
      <c r="AK44" s="718" t="s">
        <v>483</v>
      </c>
      <c r="AM44" s="69"/>
      <c r="AN44" s="69" t="str">
        <f t="shared" si="1"/>
        <v>Наименование признака дифференциации</v>
      </c>
      <c r="AO44" s="69"/>
      <c r="AP44" s="69"/>
    </row>
    <row r="45" spans="1:42" ht="23.25" customHeight="1">
      <c r="A45" s="759" t="s">
        <v>270</v>
      </c>
      <c r="B45" s="759" t="s">
        <v>271</v>
      </c>
      <c r="C45" s="759" t="s">
        <v>272</v>
      </c>
      <c r="D45" s="759" t="s">
        <v>520</v>
      </c>
      <c r="E45" s="1266"/>
      <c r="F45" s="1266"/>
      <c r="G45" s="1266"/>
      <c r="H45" s="1266"/>
      <c r="I45" s="1286"/>
      <c r="J45" s="1263" t="str">
        <f>I44&amp;".1"</f>
        <v>...1.1</v>
      </c>
      <c r="K45" s="759"/>
      <c r="L45" s="760" t="s">
        <v>405</v>
      </c>
      <c r="P45" s="1264"/>
      <c r="Q45" s="1264">
        <v>1</v>
      </c>
      <c r="R45" s="207"/>
      <c r="S45" s="698" t="str">
        <f>$J45</f>
        <v>...1.1</v>
      </c>
      <c r="T45" s="163" t="s">
        <v>406</v>
      </c>
      <c r="U45" s="169"/>
      <c r="V45" s="1254"/>
      <c r="W45" s="1255"/>
      <c r="X45" s="1255"/>
      <c r="Y45" s="1255"/>
      <c r="Z45" s="1255"/>
      <c r="AA45" s="1255"/>
      <c r="AB45" s="1256"/>
      <c r="AC45" s="1254"/>
      <c r="AD45" s="1255"/>
      <c r="AE45" s="1255"/>
      <c r="AF45" s="1255"/>
      <c r="AG45" s="1255"/>
      <c r="AH45" s="1255"/>
      <c r="AI45" s="1255"/>
      <c r="AJ45" s="1256"/>
      <c r="AK45" s="743" t="s">
        <v>484</v>
      </c>
      <c r="AM45" s="69"/>
      <c r="AN45" s="69" t="str">
        <f t="shared" si="1"/>
        <v>Группа потребителей</v>
      </c>
      <c r="AO45" s="69"/>
      <c r="AP45" s="69"/>
    </row>
    <row r="46" spans="1:42" ht="23.25" customHeight="1">
      <c r="A46" s="759" t="s">
        <v>270</v>
      </c>
      <c r="B46" s="759" t="s">
        <v>271</v>
      </c>
      <c r="C46" s="759" t="s">
        <v>272</v>
      </c>
      <c r="D46" s="759" t="s">
        <v>520</v>
      </c>
      <c r="E46" s="1266"/>
      <c r="F46" s="1266"/>
      <c r="G46" s="1266"/>
      <c r="H46" s="1266"/>
      <c r="I46" s="1286"/>
      <c r="J46" s="1286"/>
      <c r="K46" s="1263" t="str">
        <f>J45&amp;".1"</f>
        <v>...1.1.1</v>
      </c>
      <c r="L46" s="760"/>
      <c r="P46" s="1264"/>
      <c r="Q46" s="1264"/>
      <c r="R46" s="207">
        <v>1</v>
      </c>
      <c r="S46" s="698" t="str">
        <f>$K46</f>
        <v>...1.1.1</v>
      </c>
      <c r="T46" s="802"/>
      <c r="U46" s="169"/>
      <c r="V46" s="359"/>
      <c r="W46" s="359"/>
      <c r="X46" s="758"/>
      <c r="Y46" s="1270"/>
      <c r="Z46" s="1271" t="s">
        <v>62</v>
      </c>
      <c r="AA46" s="1270"/>
      <c r="AB46" s="1271" t="s">
        <v>62</v>
      </c>
      <c r="AC46" s="304"/>
      <c r="AD46" s="304"/>
      <c r="AE46" s="717"/>
      <c r="AF46" s="1268"/>
      <c r="AG46" s="1127" t="s">
        <v>62</v>
      </c>
      <c r="AH46" s="1287"/>
      <c r="AI46" s="1127" t="s">
        <v>52</v>
      </c>
      <c r="AJ46" s="803"/>
      <c r="AK46" s="1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row>
    <row r="47" spans="1:42" ht="0" hidden="1" customHeight="1">
      <c r="A47" s="759" t="s">
        <v>270</v>
      </c>
      <c r="B47" s="759" t="s">
        <v>271</v>
      </c>
      <c r="C47" s="759" t="s">
        <v>272</v>
      </c>
      <c r="D47" s="759" t="s">
        <v>520</v>
      </c>
      <c r="E47" s="1266"/>
      <c r="F47" s="1266"/>
      <c r="G47" s="1266"/>
      <c r="H47" s="1266"/>
      <c r="I47" s="1286"/>
      <c r="J47" s="1286"/>
      <c r="K47" s="1263"/>
      <c r="L47" s="760"/>
      <c r="P47" s="1264"/>
      <c r="Q47" s="1264"/>
      <c r="R47" s="207"/>
      <c r="S47" s="65"/>
      <c r="T47" s="169"/>
      <c r="U47" s="169"/>
      <c r="V47" s="359"/>
      <c r="W47" s="359"/>
      <c r="X47" s="190" t="str">
        <f>Y46&amp;"-"&amp;AA46</f>
        <v>-</v>
      </c>
      <c r="Y47" s="1271"/>
      <c r="Z47" s="1271"/>
      <c r="AA47" s="1271"/>
      <c r="AB47" s="1271"/>
      <c r="AC47" s="189"/>
      <c r="AD47" s="189"/>
      <c r="AE47" s="190" t="str">
        <f>AF46&amp;"-"&amp;AH46</f>
        <v>-</v>
      </c>
      <c r="AF47" s="1269"/>
      <c r="AG47" s="1127"/>
      <c r="AH47" s="1288"/>
      <c r="AI47" s="1127"/>
      <c r="AJ47" s="379"/>
      <c r="AK47" s="1330"/>
      <c r="AM47" s="69"/>
      <c r="AN47" s="69" t="str">
        <f t="shared" si="1"/>
        <v/>
      </c>
      <c r="AO47" s="69"/>
      <c r="AP47" s="69"/>
    </row>
    <row r="48" spans="1:42" ht="21" customHeight="1">
      <c r="A48" s="759" t="s">
        <v>270</v>
      </c>
      <c r="B48" s="759" t="s">
        <v>271</v>
      </c>
      <c r="C48" s="759" t="s">
        <v>272</v>
      </c>
      <c r="D48" s="759" t="s">
        <v>520</v>
      </c>
      <c r="E48" s="1266"/>
      <c r="F48" s="1266"/>
      <c r="G48" s="1266"/>
      <c r="H48" s="1266"/>
      <c r="I48" s="1286"/>
      <c r="J48" s="1263"/>
      <c r="K48" s="759"/>
      <c r="L48" s="760"/>
      <c r="P48" s="1264"/>
      <c r="Q48" s="1264"/>
      <c r="R48" s="206"/>
      <c r="S48" s="732"/>
      <c r="T48" s="164" t="s">
        <v>485</v>
      </c>
      <c r="U48" s="211"/>
      <c r="V48" s="211"/>
      <c r="W48" s="211"/>
      <c r="X48" s="211"/>
      <c r="Y48" s="211"/>
      <c r="Z48" s="211"/>
      <c r="AA48" s="211"/>
      <c r="AB48" s="211"/>
      <c r="AC48" s="211"/>
      <c r="AD48" s="211"/>
      <c r="AE48" s="211"/>
      <c r="AF48" s="211"/>
      <c r="AG48" s="211"/>
      <c r="AH48" s="211"/>
      <c r="AI48" s="211"/>
      <c r="AJ48" s="211"/>
      <c r="AK48" s="718" t="s">
        <v>486</v>
      </c>
      <c r="AM48" s="69"/>
      <c r="AN48" s="69" t="str">
        <f t="shared" si="1"/>
        <v>Добавить значение признака дифференциации</v>
      </c>
      <c r="AO48" s="69"/>
      <c r="AP48" s="69"/>
    </row>
    <row r="49" spans="1:42" ht="21" customHeight="1">
      <c r="A49" s="759" t="s">
        <v>270</v>
      </c>
      <c r="B49" s="759" t="s">
        <v>271</v>
      </c>
      <c r="C49" s="759" t="s">
        <v>272</v>
      </c>
      <c r="D49" s="759" t="s">
        <v>520</v>
      </c>
      <c r="E49" s="1266"/>
      <c r="F49" s="1266"/>
      <c r="G49" s="1266"/>
      <c r="H49" s="1266"/>
      <c r="I49" s="1263"/>
      <c r="J49" s="759"/>
      <c r="K49" s="759"/>
      <c r="L49" s="760"/>
      <c r="P49" s="1264"/>
      <c r="Q49" s="120"/>
      <c r="R49" s="206"/>
      <c r="S49" s="732"/>
      <c r="T49" s="209" t="s">
        <v>411</v>
      </c>
      <c r="U49" s="211"/>
      <c r="V49" s="211"/>
      <c r="W49" s="211"/>
      <c r="X49" s="211"/>
      <c r="Y49" s="211"/>
      <c r="Z49" s="211"/>
      <c r="AA49" s="211"/>
      <c r="AB49" s="210"/>
      <c r="AC49" s="211"/>
      <c r="AD49" s="211"/>
      <c r="AE49" s="211"/>
      <c r="AF49" s="211"/>
      <c r="AG49" s="211"/>
      <c r="AH49" s="211"/>
      <c r="AI49" s="210"/>
      <c r="AJ49" s="211"/>
      <c r="AK49" s="804"/>
      <c r="AM49" s="69"/>
      <c r="AN49" s="69" t="str">
        <f t="shared" si="1"/>
        <v>Добавить группу потребителей</v>
      </c>
      <c r="AO49" s="69"/>
      <c r="AP49" s="69"/>
    </row>
    <row r="50" spans="1:42" ht="21" customHeight="1">
      <c r="A50" s="759" t="s">
        <v>270</v>
      </c>
      <c r="B50" s="759" t="s">
        <v>271</v>
      </c>
      <c r="C50" s="759" t="s">
        <v>272</v>
      </c>
      <c r="D50" s="759" t="s">
        <v>520</v>
      </c>
      <c r="E50" s="1266"/>
      <c r="F50" s="1266"/>
      <c r="G50" s="1266"/>
      <c r="H50" s="1265"/>
      <c r="I50" s="759"/>
      <c r="J50" s="759"/>
      <c r="K50" s="759"/>
      <c r="L50" s="760"/>
      <c r="M50" s="417"/>
      <c r="N50" s="417"/>
      <c r="O50" s="63"/>
      <c r="P50" s="35"/>
      <c r="Q50" s="214"/>
      <c r="R50" s="205"/>
      <c r="S50" s="732"/>
      <c r="T50" s="105" t="s">
        <v>487</v>
      </c>
      <c r="U50" s="211"/>
      <c r="V50" s="211"/>
      <c r="W50" s="211"/>
      <c r="X50" s="211"/>
      <c r="Y50" s="211"/>
      <c r="Z50" s="211"/>
      <c r="AA50" s="211"/>
      <c r="AB50" s="210"/>
      <c r="AC50" s="211"/>
      <c r="AD50" s="211"/>
      <c r="AE50" s="211"/>
      <c r="AF50" s="211"/>
      <c r="AG50" s="211"/>
      <c r="AH50" s="211"/>
      <c r="AI50" s="210"/>
      <c r="AJ50" s="211"/>
      <c r="AK50" s="172"/>
      <c r="AM50" s="69"/>
      <c r="AN50" s="69" t="str">
        <f t="shared" si="1"/>
        <v>Добавить наименование признака дифференциации</v>
      </c>
      <c r="AO50" s="69"/>
      <c r="AP50" s="69"/>
    </row>
    <row r="51" spans="1:42" s="68" customFormat="1" ht="0" hidden="1" customHeight="1">
      <c r="A51" s="143" t="s">
        <v>270</v>
      </c>
      <c r="B51" s="143" t="s">
        <v>271</v>
      </c>
      <c r="C51" s="143"/>
      <c r="D51" s="143"/>
      <c r="E51" s="1266"/>
      <c r="F51" s="1265"/>
      <c r="G51" s="143"/>
      <c r="H51" s="143"/>
      <c r="I51" s="143"/>
      <c r="J51" s="143"/>
      <c r="K51" s="143"/>
      <c r="L51" s="338"/>
      <c r="M51" s="749"/>
      <c r="N51" s="749"/>
      <c r="P51" s="102"/>
      <c r="Q51" s="745"/>
      <c r="R51" s="102"/>
      <c r="S51" s="750"/>
      <c r="T51" s="752" t="s">
        <v>414</v>
      </c>
      <c r="U51" s="311"/>
      <c r="V51" s="311"/>
      <c r="W51" s="311"/>
      <c r="X51" s="311"/>
      <c r="Y51" s="311"/>
      <c r="Z51" s="311"/>
      <c r="AA51" s="311"/>
      <c r="AB51" s="311"/>
      <c r="AC51" s="311"/>
      <c r="AD51" s="311"/>
      <c r="AE51" s="311"/>
      <c r="AF51" s="311"/>
      <c r="AG51" s="311"/>
      <c r="AH51" s="311"/>
      <c r="AI51" s="311"/>
      <c r="AJ51" s="311"/>
      <c r="AK51" s="311"/>
      <c r="AM51" s="69"/>
      <c r="AN51" s="69" t="str">
        <f t="shared" si="1"/>
        <v>Добавить централизованную систему для дифференциации</v>
      </c>
      <c r="AO51" s="69"/>
      <c r="AP51" s="69"/>
    </row>
    <row r="52" spans="1:42" s="68" customFormat="1" ht="0" hidden="1" customHeight="1">
      <c r="A52" s="143" t="s">
        <v>270</v>
      </c>
      <c r="B52" s="143"/>
      <c r="C52" s="143"/>
      <c r="D52" s="143"/>
      <c r="E52" s="1265"/>
      <c r="F52" s="143"/>
      <c r="G52" s="143"/>
      <c r="H52" s="143"/>
      <c r="I52" s="143"/>
      <c r="J52" s="143"/>
      <c r="K52" s="143"/>
      <c r="L52" s="338"/>
      <c r="M52" s="749"/>
      <c r="N52" s="749"/>
      <c r="P52" s="102"/>
      <c r="Q52" s="745"/>
      <c r="R52" s="102"/>
      <c r="S52" s="750"/>
      <c r="T52" s="752" t="s">
        <v>415</v>
      </c>
      <c r="U52" s="311"/>
      <c r="V52" s="311"/>
      <c r="W52" s="311"/>
      <c r="X52" s="311"/>
      <c r="Y52" s="311"/>
      <c r="Z52" s="311"/>
      <c r="AA52" s="311"/>
      <c r="AB52" s="311"/>
      <c r="AC52" s="311"/>
      <c r="AD52" s="311"/>
      <c r="AE52" s="311"/>
      <c r="AF52" s="311"/>
      <c r="AG52" s="311"/>
      <c r="AH52" s="311"/>
      <c r="AI52" s="311"/>
      <c r="AJ52" s="311"/>
      <c r="AK52" s="311"/>
      <c r="AM52" s="69"/>
      <c r="AN52" s="69" t="str">
        <f t="shared" si="1"/>
        <v>Добавить территорию для дифференциации</v>
      </c>
      <c r="AO52" s="69"/>
      <c r="AP52" s="69"/>
    </row>
    <row r="53" spans="1:42" s="68" customFormat="1" ht="0" hidden="1" customHeight="1">
      <c r="A53" s="143"/>
      <c r="B53" s="143"/>
      <c r="C53" s="143"/>
      <c r="D53" s="143"/>
      <c r="E53" s="143"/>
      <c r="F53" s="143"/>
      <c r="G53" s="143"/>
      <c r="H53" s="143"/>
      <c r="I53" s="143"/>
      <c r="J53" s="143"/>
      <c r="K53" s="143"/>
      <c r="L53" s="338"/>
      <c r="M53" s="749"/>
      <c r="N53" s="749"/>
      <c r="P53" s="102"/>
      <c r="Q53" s="745"/>
      <c r="R53" s="102"/>
      <c r="S53" s="750"/>
      <c r="T53" s="752" t="s">
        <v>447</v>
      </c>
      <c r="U53" s="311"/>
      <c r="V53" s="311"/>
      <c r="W53" s="311"/>
      <c r="X53" s="311"/>
      <c r="Y53" s="311"/>
      <c r="Z53" s="311"/>
      <c r="AA53" s="311"/>
      <c r="AB53" s="311"/>
      <c r="AC53" s="311"/>
      <c r="AD53" s="311"/>
      <c r="AE53" s="311"/>
      <c r="AF53" s="311"/>
      <c r="AG53" s="311"/>
      <c r="AH53" s="311"/>
      <c r="AI53" s="311"/>
      <c r="AJ53" s="311"/>
      <c r="AK53" s="311"/>
      <c r="AM53" s="69"/>
      <c r="AN53" s="69" t="str">
        <f t="shared" si="1"/>
        <v>Добавить наименование тарифа</v>
      </c>
      <c r="AO53" s="69"/>
      <c r="AP53" s="69"/>
    </row>
    <row r="54" spans="1:42" ht="11.25" customHeight="1">
      <c r="M54" s="63"/>
      <c r="N54" s="63"/>
      <c r="O54" s="63"/>
      <c r="P54" s="12"/>
      <c r="Q54" s="12"/>
      <c r="R54" s="12"/>
      <c r="S54" s="12"/>
      <c r="AL54" s="12"/>
      <c r="AM54" s="12"/>
      <c r="AN54" s="12"/>
      <c r="AO54" s="12"/>
      <c r="AP54" s="12"/>
    </row>
    <row r="55" spans="1:42" ht="14.25" customHeight="1">
      <c r="O55" s="63"/>
      <c r="S55" s="196"/>
      <c r="T55" s="1285"/>
      <c r="U55" s="1285"/>
      <c r="V55" s="1285"/>
      <c r="W55" s="1285"/>
      <c r="X55" s="1285"/>
      <c r="Y55" s="1285"/>
      <c r="Z55" s="1285"/>
      <c r="AA55" s="1285"/>
      <c r="AB55" s="1285"/>
      <c r="AC55" s="1285"/>
      <c r="AD55" s="1285"/>
      <c r="AE55" s="1285"/>
      <c r="AF55" s="1285"/>
      <c r="AG55" s="1285"/>
      <c r="AH55" s="1285"/>
      <c r="AI55" s="1285"/>
      <c r="AJ55" s="1285"/>
      <c r="AK55" s="1285"/>
    </row>
    <row r="56" spans="1:42" ht="14.25" customHeight="1">
      <c r="O56" s="63"/>
    </row>
    <row r="57" spans="1:42" ht="14.25" customHeight="1">
      <c r="O57" s="63"/>
      <c r="S57" s="196"/>
      <c r="T57" s="1285"/>
      <c r="U57" s="1285"/>
      <c r="V57" s="1285"/>
      <c r="W57" s="1285"/>
      <c r="X57" s="1285"/>
      <c r="Y57" s="1285"/>
      <c r="Z57" s="1285"/>
      <c r="AA57" s="1285"/>
      <c r="AB57" s="1285"/>
      <c r="AC57" s="1285"/>
      <c r="AD57" s="1285"/>
      <c r="AE57" s="1285"/>
      <c r="AF57" s="1285"/>
      <c r="AG57" s="1285"/>
      <c r="AH57" s="1285"/>
      <c r="AI57" s="1285"/>
      <c r="AJ57" s="1285"/>
      <c r="AK57" s="128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C3E3-C50F-FB24-B48E-BE2288BD94F6}">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299" hidden="1" customWidth="1"/>
    <col min="13" max="14" width="12.28515625" style="497" hidden="1" customWidth="1"/>
    <col min="15" max="15" width="23.42578125" style="497" hidden="1" customWidth="1"/>
    <col min="16" max="16" width="3.7109375" style="497" hidden="1" customWidth="1"/>
    <col min="17" max="17" width="3.7109375" style="762" hidden="1" customWidth="1"/>
    <col min="18" max="18" width="3.7109375" style="30" customWidth="1"/>
    <col min="19" max="19" width="12.7109375" style="334" customWidth="1"/>
    <col min="20" max="20" width="32" style="12" customWidth="1"/>
    <col min="21" max="21" width="0.140625" style="12" customWidth="1"/>
    <col min="22" max="25" width="21.7109375" style="12" hidden="1" customWidth="1"/>
    <col min="26" max="26" width="11.7109375" style="12" hidden="1" customWidth="1"/>
    <col min="27" max="27" width="3.7109375" style="12" hidden="1" customWidth="1"/>
    <col min="28" max="28" width="11.7109375" style="12" hidden="1" customWidth="1"/>
    <col min="29" max="29" width="8.5703125" style="12" hidden="1" customWidth="1"/>
    <col min="30" max="32" width="3.7109375" style="12" customWidth="1"/>
    <col min="33" max="33" width="24.7109375" style="12" customWidth="1"/>
    <col min="34" max="36" width="3.7109375" style="12" customWidth="1"/>
    <col min="37" max="37" width="24.7109375" style="12" customWidth="1"/>
    <col min="38" max="40" width="3.7109375" style="12" customWidth="1"/>
    <col min="41" max="41" width="18.85546875" style="12" customWidth="1"/>
    <col min="42" max="44" width="3.7109375" style="12" customWidth="1"/>
    <col min="45" max="45" width="18.85546875" style="12" customWidth="1"/>
    <col min="46" max="49" width="21.7109375" style="12" customWidth="1"/>
    <col min="50" max="50" width="11.7109375" style="12" customWidth="1"/>
    <col min="51" max="51" width="3.7109375" style="12" customWidth="1"/>
    <col min="52" max="52" width="11.7109375" style="12" customWidth="1"/>
    <col min="53" max="53" width="8.5703125" style="12" hidden="1" customWidth="1"/>
    <col min="54" max="54" width="4.7109375" style="12" customWidth="1"/>
    <col min="55" max="55" width="115.7109375" style="12" customWidth="1"/>
    <col min="56" max="57" width="10.5703125" style="68"/>
    <col min="58" max="58" width="11.140625" style="68" customWidth="1"/>
    <col min="59" max="60" width="10.5703125" style="68"/>
  </cols>
  <sheetData>
    <row r="1" spans="1:60" ht="14.25" hidden="1" customHeight="1"/>
    <row r="2" spans="1:60" ht="21" hidden="1" customHeight="1">
      <c r="A2" s="759"/>
      <c r="B2" s="759"/>
      <c r="C2" s="759"/>
      <c r="D2" s="759"/>
      <c r="E2" s="1265">
        <v>1</v>
      </c>
      <c r="F2" s="759"/>
      <c r="G2" s="759"/>
      <c r="H2" s="759"/>
      <c r="I2" s="759"/>
      <c r="J2" s="759"/>
      <c r="K2" s="759"/>
      <c r="L2" s="760"/>
      <c r="M2" s="417"/>
      <c r="N2" s="417"/>
      <c r="O2" s="417"/>
      <c r="Q2" s="62"/>
      <c r="R2" s="205"/>
      <c r="S2" s="698" t="e">
        <f>INDEX(PT_DIFFERENTIATION_NUM_NTAR,MATCH(A2,PT_DIFFERENTIATION_NTAR_ID,0))</f>
        <v>#N/A</v>
      </c>
      <c r="T2" s="67" t="s">
        <v>124</v>
      </c>
      <c r="U2" s="169"/>
      <c r="V2" s="1252"/>
      <c r="W2" s="1252"/>
      <c r="X2" s="1252"/>
      <c r="Y2" s="1252"/>
      <c r="Z2" s="1252"/>
      <c r="AA2" s="1252"/>
      <c r="AB2" s="1252"/>
      <c r="AC2" s="1253"/>
      <c r="AD2" s="1251" t="e">
        <f>INDEX(PT_DIFFERENTIATION_NTAR,MATCH(A2,PT_DIFFERENTIATION_NTAR_ID,0))</f>
        <v>#N/A</v>
      </c>
      <c r="AE2" s="1252"/>
      <c r="AF2" s="1252"/>
      <c r="AG2" s="1252"/>
      <c r="AH2" s="1252"/>
      <c r="AI2" s="1252"/>
      <c r="AJ2" s="1252"/>
      <c r="AK2" s="1252"/>
      <c r="AL2" s="1252"/>
      <c r="AM2" s="1252"/>
      <c r="AN2" s="1252"/>
      <c r="AO2" s="1252"/>
      <c r="AP2" s="1252"/>
      <c r="AQ2" s="1252"/>
      <c r="AR2" s="1252"/>
      <c r="AS2" s="1252"/>
      <c r="AT2" s="1252"/>
      <c r="AU2" s="1252"/>
      <c r="AV2" s="1252"/>
      <c r="AW2" s="1252"/>
      <c r="AX2" s="1252"/>
      <c r="AY2" s="1252"/>
      <c r="AZ2" s="1252"/>
      <c r="BA2" s="1252"/>
      <c r="BB2" s="1253"/>
      <c r="BC2"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row>
    <row r="3" spans="1:60" ht="21" hidden="1" customHeight="1">
      <c r="A3" s="759"/>
      <c r="B3" s="759"/>
      <c r="C3" s="759"/>
      <c r="D3" s="759"/>
      <c r="E3" s="1266"/>
      <c r="F3" s="1265">
        <v>1</v>
      </c>
      <c r="G3" s="759"/>
      <c r="H3" s="759"/>
      <c r="I3" s="759"/>
      <c r="J3" s="759"/>
      <c r="K3" s="759"/>
      <c r="L3" s="760"/>
      <c r="M3" s="417"/>
      <c r="N3" s="417"/>
      <c r="O3" s="417"/>
      <c r="P3" s="299"/>
      <c r="Q3" s="792"/>
      <c r="R3" s="203"/>
      <c r="S3" s="698" t="e">
        <f>INDEX(PT_DIFFERENTIATION_NUM_TER,MATCH(B3,PT_DIFFERENTIATION_TER_ID,0))</f>
        <v>#N/A</v>
      </c>
      <c r="T3" s="175" t="s">
        <v>396</v>
      </c>
      <c r="U3" s="169"/>
      <c r="V3" s="1252"/>
      <c r="W3" s="1252"/>
      <c r="X3" s="1252"/>
      <c r="Y3" s="1252"/>
      <c r="Z3" s="1252"/>
      <c r="AA3" s="1252"/>
      <c r="AB3" s="1252"/>
      <c r="AC3" s="1253"/>
      <c r="AD3" s="1251" t="e">
        <f>INDEX(PT_DIFFERENTIATION_TER,MATCH(B3,PT_DIFFERENTIATION_TER_ID,0))</f>
        <v>#N/A</v>
      </c>
      <c r="AE3" s="1252"/>
      <c r="AF3" s="1252"/>
      <c r="AG3" s="1252"/>
      <c r="AH3" s="1252"/>
      <c r="AI3" s="1252"/>
      <c r="AJ3" s="1252"/>
      <c r="AK3" s="1252"/>
      <c r="AL3" s="1252"/>
      <c r="AM3" s="1252"/>
      <c r="AN3" s="1252"/>
      <c r="AO3" s="1252"/>
      <c r="AP3" s="1252"/>
      <c r="AQ3" s="1252"/>
      <c r="AR3" s="1252"/>
      <c r="AS3" s="1252"/>
      <c r="AT3" s="1252"/>
      <c r="AU3" s="1252"/>
      <c r="AV3" s="1252"/>
      <c r="AW3" s="1252"/>
      <c r="AX3" s="1252"/>
      <c r="AY3" s="1252"/>
      <c r="AZ3" s="1252"/>
      <c r="BA3" s="1252"/>
      <c r="BB3" s="1253"/>
      <c r="BC3" s="718" t="s">
        <v>397</v>
      </c>
      <c r="BE3" s="69"/>
      <c r="BF3" s="69" t="str">
        <f t="shared" si="0"/>
        <v>Территория действия тарифа</v>
      </c>
      <c r="BG3" s="69"/>
      <c r="BH3" s="69"/>
    </row>
    <row r="4" spans="1:60" ht="33.75" hidden="1" customHeight="1">
      <c r="A4" s="759"/>
      <c r="B4" s="759"/>
      <c r="C4" s="759"/>
      <c r="D4" s="759"/>
      <c r="E4" s="1266"/>
      <c r="F4" s="1266"/>
      <c r="G4" s="1265">
        <v>1</v>
      </c>
      <c r="H4" s="759"/>
      <c r="I4" s="759"/>
      <c r="J4" s="759"/>
      <c r="K4" s="759"/>
      <c r="L4" s="760"/>
      <c r="M4" s="417"/>
      <c r="N4" s="417"/>
      <c r="O4" s="417"/>
      <c r="P4" s="129"/>
      <c r="Q4" s="792"/>
      <c r="R4" s="203"/>
      <c r="S4" s="698" t="e">
        <f>INDEX(PT_DIFFERENTIATION_NUM_CS,MATCH(C4,PT_DIFFERENTIATION_CS_ID,0))</f>
        <v>#N/A</v>
      </c>
      <c r="T4" s="176" t="s">
        <v>515</v>
      </c>
      <c r="U4" s="169"/>
      <c r="V4" s="1252"/>
      <c r="W4" s="1252"/>
      <c r="X4" s="1252"/>
      <c r="Y4" s="1252"/>
      <c r="Z4" s="1252"/>
      <c r="AA4" s="1252"/>
      <c r="AB4" s="1252"/>
      <c r="AC4" s="1253"/>
      <c r="AD4" s="1251" t="e">
        <f>INDEX(PT_DIFFERENTIATION_CS,MATCH(C4,PT_DIFFERENTIATION_CS_ID,0))</f>
        <v>#N/A</v>
      </c>
      <c r="AE4" s="1252"/>
      <c r="AF4" s="1252"/>
      <c r="AG4" s="1252"/>
      <c r="AH4" s="1252"/>
      <c r="AI4" s="1252"/>
      <c r="AJ4" s="1252"/>
      <c r="AK4" s="1252"/>
      <c r="AL4" s="1252"/>
      <c r="AM4" s="1252"/>
      <c r="AN4" s="1252"/>
      <c r="AO4" s="1252"/>
      <c r="AP4" s="1252"/>
      <c r="AQ4" s="1252"/>
      <c r="AR4" s="1252"/>
      <c r="AS4" s="1252"/>
      <c r="AT4" s="1252"/>
      <c r="AU4" s="1252"/>
      <c r="AV4" s="1252"/>
      <c r="AW4" s="1252"/>
      <c r="AX4" s="1252"/>
      <c r="AY4" s="1252"/>
      <c r="AZ4" s="1252"/>
      <c r="BA4" s="1252"/>
      <c r="BB4" s="1253"/>
      <c r="BC4" s="718" t="s">
        <v>516</v>
      </c>
      <c r="BE4" s="69"/>
      <c r="BF4" s="69" t="str">
        <f t="shared" si="0"/>
        <v>Наименование централизованной системы водоотведения</v>
      </c>
      <c r="BG4" s="69"/>
      <c r="BH4" s="69"/>
    </row>
    <row r="5" spans="1:60" s="68" customFormat="1" ht="14.25" hidden="1" customHeight="1">
      <c r="A5" s="143"/>
      <c r="B5" s="143"/>
      <c r="C5" s="143"/>
      <c r="D5" s="143"/>
      <c r="E5" s="1266"/>
      <c r="F5" s="1266"/>
      <c r="G5" s="1266"/>
      <c r="H5" s="1265">
        <v>1</v>
      </c>
      <c r="I5" s="143"/>
      <c r="J5" s="143"/>
      <c r="K5" s="143"/>
      <c r="L5" s="338"/>
      <c r="M5" s="291"/>
      <c r="N5" s="291"/>
      <c r="O5" s="291"/>
      <c r="P5" s="810"/>
      <c r="Q5" s="811"/>
      <c r="R5" s="207"/>
      <c r="S5" s="353"/>
      <c r="T5" s="812"/>
      <c r="U5" s="770"/>
      <c r="V5" s="1295"/>
      <c r="W5" s="1295"/>
      <c r="X5" s="1295"/>
      <c r="Y5" s="1295"/>
      <c r="Z5" s="1295"/>
      <c r="AA5" s="1295"/>
      <c r="AB5" s="1295"/>
      <c r="AC5" s="1296"/>
      <c r="AD5" s="1294"/>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6"/>
      <c r="BC5" s="771" t="s">
        <v>401</v>
      </c>
      <c r="BE5" s="69"/>
      <c r="BF5" s="69" t="str">
        <f t="shared" si="0"/>
        <v/>
      </c>
      <c r="BG5" s="69"/>
      <c r="BH5" s="69"/>
    </row>
    <row r="6" spans="1:60" s="68" customFormat="1" ht="14.25" hidden="1" customHeight="1">
      <c r="A6" s="143"/>
      <c r="B6" s="143"/>
      <c r="C6" s="143"/>
      <c r="D6" s="143"/>
      <c r="E6" s="1266"/>
      <c r="F6" s="1266"/>
      <c r="G6" s="1266"/>
      <c r="H6" s="1266"/>
      <c r="I6" s="1263" t="str">
        <f>S5&amp;".1"</f>
        <v>.1</v>
      </c>
      <c r="J6" s="143"/>
      <c r="K6" s="143"/>
      <c r="L6" s="338" t="s">
        <v>402</v>
      </c>
      <c r="M6" s="288"/>
      <c r="N6" s="288"/>
      <c r="O6" s="288"/>
      <c r="P6" s="1264">
        <v>1</v>
      </c>
      <c r="Q6" s="120"/>
      <c r="R6" s="206"/>
      <c r="S6" s="353"/>
      <c r="T6" s="769"/>
      <c r="U6" s="770"/>
      <c r="V6" s="1295"/>
      <c r="W6" s="1295"/>
      <c r="X6" s="1295"/>
      <c r="Y6" s="1295"/>
      <c r="Z6" s="1295"/>
      <c r="AA6" s="1295"/>
      <c r="AB6" s="1295"/>
      <c r="AC6" s="1296"/>
      <c r="AD6" s="1294"/>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6"/>
      <c r="BC6" s="771"/>
      <c r="BE6" s="69"/>
      <c r="BF6" s="69" t="str">
        <f t="shared" si="0"/>
        <v/>
      </c>
      <c r="BG6" s="69"/>
      <c r="BH6" s="69"/>
    </row>
    <row r="7" spans="1:60" s="68" customFormat="1" ht="14.25" hidden="1" customHeight="1">
      <c r="A7" s="143"/>
      <c r="B7" s="143"/>
      <c r="C7" s="143"/>
      <c r="D7" s="143"/>
      <c r="E7" s="1266"/>
      <c r="F7" s="1266"/>
      <c r="G7" s="1266"/>
      <c r="H7" s="1266"/>
      <c r="I7" s="1286"/>
      <c r="J7" s="1263" t="str">
        <f>S5&amp;".1"</f>
        <v>.1</v>
      </c>
      <c r="K7" s="143"/>
      <c r="L7" s="338"/>
      <c r="M7" s="288"/>
      <c r="N7" s="288"/>
      <c r="O7" s="288"/>
      <c r="P7" s="1264"/>
      <c r="Q7" s="1264">
        <v>1</v>
      </c>
      <c r="R7" s="207"/>
      <c r="S7" s="353"/>
      <c r="T7" s="784"/>
      <c r="U7" s="770"/>
      <c r="V7" s="1295"/>
      <c r="W7" s="1295"/>
      <c r="X7" s="1295"/>
      <c r="Y7" s="1295"/>
      <c r="Z7" s="1295"/>
      <c r="AA7" s="1295"/>
      <c r="AB7" s="1295"/>
      <c r="AC7" s="1296"/>
      <c r="AD7" s="1294"/>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6"/>
      <c r="BC7" s="771"/>
      <c r="BE7" s="69"/>
      <c r="BF7" s="69" t="str">
        <f t="shared" si="0"/>
        <v/>
      </c>
      <c r="BG7" s="69"/>
      <c r="BH7" s="69"/>
    </row>
    <row r="8" spans="1:60" ht="11.25" hidden="1" customHeight="1">
      <c r="A8" s="759"/>
      <c r="B8" s="759"/>
      <c r="C8" s="759"/>
      <c r="D8" s="759"/>
      <c r="E8" s="1266"/>
      <c r="F8" s="1266"/>
      <c r="G8" s="1266"/>
      <c r="H8" s="1266"/>
      <c r="I8" s="1286"/>
      <c r="J8" s="1286"/>
      <c r="K8" s="1263" t="e">
        <f>S4&amp;".1"</f>
        <v>#N/A</v>
      </c>
      <c r="L8" s="760"/>
      <c r="P8" s="1264"/>
      <c r="Q8" s="1264"/>
      <c r="R8" s="1328">
        <v>1</v>
      </c>
      <c r="S8" s="1322" t="e">
        <f>$K8</f>
        <v>#N/A</v>
      </c>
      <c r="T8" s="1341"/>
      <c r="U8" s="169"/>
      <c r="V8" s="304"/>
      <c r="W8" s="717"/>
      <c r="X8" s="304"/>
      <c r="Y8" s="717"/>
      <c r="Z8" s="933"/>
      <c r="AA8" s="295" t="s">
        <v>62</v>
      </c>
      <c r="AB8" s="933"/>
      <c r="AC8" s="295" t="s">
        <v>62</v>
      </c>
      <c r="AD8" s="1203" t="s">
        <v>62</v>
      </c>
      <c r="AE8" s="1308"/>
      <c r="AF8" s="1220">
        <v>1</v>
      </c>
      <c r="AG8" s="1345"/>
      <c r="AH8" s="1127" t="s">
        <v>62</v>
      </c>
      <c r="AI8" s="1308"/>
      <c r="AJ8" s="1220">
        <v>1</v>
      </c>
      <c r="AK8" s="1344" t="s">
        <v>18</v>
      </c>
      <c r="AL8" s="1127" t="s">
        <v>62</v>
      </c>
      <c r="AM8" s="1210"/>
      <c r="AN8" s="1220">
        <v>1</v>
      </c>
      <c r="AO8" s="1338"/>
      <c r="AP8" s="1339" t="s">
        <v>62</v>
      </c>
      <c r="AQ8" s="178"/>
      <c r="AR8" s="266">
        <v>1</v>
      </c>
      <c r="AS8" s="117" t="s">
        <v>18</v>
      </c>
      <c r="AT8" s="304"/>
      <c r="AU8" s="717"/>
      <c r="AV8" s="304"/>
      <c r="AW8" s="717"/>
      <c r="AX8" s="933"/>
      <c r="AY8" s="295" t="s">
        <v>62</v>
      </c>
      <c r="AZ8" s="933"/>
      <c r="BA8" s="295" t="s">
        <v>62</v>
      </c>
      <c r="BB8" s="756"/>
      <c r="BC8" s="1260" t="s">
        <v>500</v>
      </c>
      <c r="BE8" s="69"/>
      <c r="BF8" s="69" t="str">
        <f t="shared" si="0"/>
        <v/>
      </c>
      <c r="BG8" s="69"/>
      <c r="BH8" s="69"/>
    </row>
    <row r="9" spans="1:60" ht="11.25" hidden="1" customHeight="1">
      <c r="A9" s="759"/>
      <c r="B9" s="759"/>
      <c r="C9" s="759"/>
      <c r="D9" s="759"/>
      <c r="E9" s="1266"/>
      <c r="F9" s="1266"/>
      <c r="G9" s="1266"/>
      <c r="H9" s="1266"/>
      <c r="I9" s="1286"/>
      <c r="J9" s="1286"/>
      <c r="K9" s="1263"/>
      <c r="L9" s="760"/>
      <c r="P9" s="1264"/>
      <c r="Q9" s="1264"/>
      <c r="R9" s="1328"/>
      <c r="S9" s="1323"/>
      <c r="T9" s="1342"/>
      <c r="U9" s="169"/>
      <c r="V9" s="779"/>
      <c r="W9" s="809"/>
      <c r="X9" s="779"/>
      <c r="Y9" s="809"/>
      <c r="Z9" s="779"/>
      <c r="AA9" s="779"/>
      <c r="AB9" s="779"/>
      <c r="AC9" s="779"/>
      <c r="AD9" s="1204"/>
      <c r="AE9" s="1308"/>
      <c r="AF9" s="1220"/>
      <c r="AG9" s="1345"/>
      <c r="AH9" s="1127"/>
      <c r="AI9" s="1308"/>
      <c r="AJ9" s="1220"/>
      <c r="AK9" s="1344"/>
      <c r="AL9" s="1127"/>
      <c r="AM9" s="1215"/>
      <c r="AN9" s="1220"/>
      <c r="AO9" s="1338"/>
      <c r="AP9" s="1340"/>
      <c r="AQ9" s="182"/>
      <c r="AR9" s="53"/>
      <c r="AS9" s="53" t="s">
        <v>501</v>
      </c>
      <c r="AT9" s="779"/>
      <c r="AU9" s="809"/>
      <c r="AV9" s="779"/>
      <c r="AW9" s="809"/>
      <c r="AX9" s="779"/>
      <c r="AY9" s="779"/>
      <c r="AZ9" s="779"/>
      <c r="BA9" s="779"/>
      <c r="BB9" s="783"/>
      <c r="BC9" s="1261"/>
      <c r="BE9" s="69"/>
      <c r="BF9" s="69"/>
      <c r="BG9" s="69"/>
      <c r="BH9" s="69"/>
    </row>
    <row r="10" spans="1:60" ht="11.25" hidden="1" customHeight="1">
      <c r="A10" s="759"/>
      <c r="B10" s="759"/>
      <c r="C10" s="759"/>
      <c r="D10" s="759"/>
      <c r="E10" s="1266"/>
      <c r="F10" s="1266"/>
      <c r="G10" s="1266"/>
      <c r="H10" s="1266"/>
      <c r="I10" s="1286"/>
      <c r="J10" s="1286"/>
      <c r="K10" s="1263"/>
      <c r="L10" s="760"/>
      <c r="P10" s="1264"/>
      <c r="Q10" s="1264"/>
      <c r="R10" s="1328"/>
      <c r="S10" s="1323"/>
      <c r="T10" s="1342"/>
      <c r="U10" s="169"/>
      <c r="V10" s="779"/>
      <c r="W10" s="809"/>
      <c r="X10" s="779"/>
      <c r="Y10" s="809"/>
      <c r="Z10" s="779"/>
      <c r="AA10" s="779"/>
      <c r="AB10" s="779"/>
      <c r="AC10" s="779"/>
      <c r="AD10" s="1204"/>
      <c r="AE10" s="1308"/>
      <c r="AF10" s="1220"/>
      <c r="AG10" s="1345"/>
      <c r="AH10" s="1127"/>
      <c r="AI10" s="1308"/>
      <c r="AJ10" s="1220"/>
      <c r="AK10" s="1344"/>
      <c r="AL10" s="1127"/>
      <c r="AM10" s="182"/>
      <c r="AN10" s="813"/>
      <c r="AO10" s="813" t="s">
        <v>521</v>
      </c>
      <c r="AP10" s="53"/>
      <c r="AQ10" s="53"/>
      <c r="AR10" s="53"/>
      <c r="AS10" s="779"/>
      <c r="AT10" s="779"/>
      <c r="AU10" s="809"/>
      <c r="AV10" s="779"/>
      <c r="AW10" s="809"/>
      <c r="AX10" s="779"/>
      <c r="AY10" s="779"/>
      <c r="AZ10" s="779"/>
      <c r="BA10" s="779"/>
      <c r="BB10" s="783"/>
      <c r="BC10" s="1261"/>
      <c r="BE10" s="69"/>
      <c r="BF10" s="69"/>
      <c r="BG10" s="69"/>
      <c r="BH10" s="69"/>
    </row>
    <row r="11" spans="1:60" ht="11.25" hidden="1" customHeight="1">
      <c r="A11" s="759"/>
      <c r="B11" s="759"/>
      <c r="C11" s="759"/>
      <c r="D11" s="759"/>
      <c r="E11" s="1266"/>
      <c r="F11" s="1266"/>
      <c r="G11" s="1266"/>
      <c r="H11" s="1266"/>
      <c r="I11" s="1286"/>
      <c r="J11" s="1286"/>
      <c r="K11" s="1263"/>
      <c r="L11" s="760"/>
      <c r="P11" s="1264"/>
      <c r="Q11" s="1264"/>
      <c r="R11" s="1328"/>
      <c r="S11" s="1323"/>
      <c r="T11" s="1342"/>
      <c r="U11" s="169"/>
      <c r="V11" s="779"/>
      <c r="W11" s="809"/>
      <c r="X11" s="779"/>
      <c r="Y11" s="809"/>
      <c r="Z11" s="779"/>
      <c r="AA11" s="779"/>
      <c r="AB11" s="779"/>
      <c r="AC11" s="779"/>
      <c r="AD11" s="1204"/>
      <c r="AE11" s="1308"/>
      <c r="AF11" s="1220"/>
      <c r="AG11" s="1345"/>
      <c r="AH11" s="1127"/>
      <c r="AI11" s="167"/>
      <c r="AJ11" s="108"/>
      <c r="AK11" s="180" t="s">
        <v>522</v>
      </c>
      <c r="AL11" s="779"/>
      <c r="AM11" s="779"/>
      <c r="AN11" s="779"/>
      <c r="AO11" s="779"/>
      <c r="AP11" s="779"/>
      <c r="AQ11" s="779"/>
      <c r="AR11" s="779"/>
      <c r="AS11" s="779"/>
      <c r="AT11" s="779"/>
      <c r="AU11" s="809"/>
      <c r="AV11" s="779"/>
      <c r="AW11" s="809"/>
      <c r="AX11" s="779"/>
      <c r="AY11" s="779"/>
      <c r="AZ11" s="779"/>
      <c r="BA11" s="779"/>
      <c r="BB11" s="783"/>
      <c r="BC11" s="1261"/>
      <c r="BE11" s="69"/>
      <c r="BF11" s="69"/>
      <c r="BG11" s="69"/>
      <c r="BH11" s="69"/>
    </row>
    <row r="12" spans="1:60" ht="11.25" hidden="1" customHeight="1">
      <c r="A12" s="759"/>
      <c r="B12" s="759"/>
      <c r="C12" s="759"/>
      <c r="D12" s="759"/>
      <c r="E12" s="1266"/>
      <c r="F12" s="1266"/>
      <c r="G12" s="1266"/>
      <c r="H12" s="1266"/>
      <c r="I12" s="1286"/>
      <c r="J12" s="1286"/>
      <c r="K12" s="1263"/>
      <c r="L12" s="760"/>
      <c r="P12" s="1264"/>
      <c r="Q12" s="1264"/>
      <c r="R12" s="1328"/>
      <c r="S12" s="1324"/>
      <c r="T12" s="1343"/>
      <c r="U12" s="169"/>
      <c r="V12" s="779"/>
      <c r="W12" s="780" t="str">
        <f>Z8&amp;"-"&amp;AB8</f>
        <v>-</v>
      </c>
      <c r="X12" s="779"/>
      <c r="Y12" s="780" t="str">
        <f>AB8&amp;"-"&amp;AD8</f>
        <v>-да</v>
      </c>
      <c r="Z12" s="779"/>
      <c r="AA12" s="779"/>
      <c r="AB12" s="779"/>
      <c r="AC12" s="779"/>
      <c r="AD12" s="1132"/>
      <c r="AE12" s="179"/>
      <c r="AF12" s="181"/>
      <c r="AG12" s="53" t="s">
        <v>504</v>
      </c>
      <c r="AH12" s="779"/>
      <c r="AI12" s="779"/>
      <c r="AJ12" s="779"/>
      <c r="AK12" s="779"/>
      <c r="AL12" s="779"/>
      <c r="AM12" s="779"/>
      <c r="AN12" s="779"/>
      <c r="AO12" s="779"/>
      <c r="AP12" s="779"/>
      <c r="AQ12" s="779"/>
      <c r="AR12" s="779"/>
      <c r="AS12" s="779"/>
      <c r="AT12" s="779"/>
      <c r="AU12" s="780" t="str">
        <f>AX8&amp;"-"&amp;AZ8</f>
        <v>-</v>
      </c>
      <c r="AV12" s="779"/>
      <c r="AW12" s="780" t="str">
        <f>AZ8&amp;"-"&amp;BB8</f>
        <v>-</v>
      </c>
      <c r="AX12" s="779"/>
      <c r="AY12" s="779"/>
      <c r="AZ12" s="779"/>
      <c r="BA12" s="779"/>
      <c r="BB12" s="782" t="str">
        <f>BE8&amp;"-"&amp;BG8</f>
        <v>-</v>
      </c>
      <c r="BC12" s="1261"/>
      <c r="BE12" s="69"/>
      <c r="BF12" s="69" t="str">
        <f t="shared" ref="BF12:BF18" si="1">IF(T12="","",T12)</f>
        <v/>
      </c>
      <c r="BG12" s="69"/>
      <c r="BH12" s="69"/>
    </row>
    <row r="13" spans="1:60" ht="11.25" hidden="1" customHeight="1">
      <c r="A13" s="759"/>
      <c r="B13" s="759"/>
      <c r="C13" s="759"/>
      <c r="D13" s="759"/>
      <c r="E13" s="1266"/>
      <c r="F13" s="1266"/>
      <c r="G13" s="1266"/>
      <c r="H13" s="1266"/>
      <c r="I13" s="1286"/>
      <c r="J13" s="1263"/>
      <c r="K13" s="759"/>
      <c r="L13" s="760"/>
      <c r="P13" s="1264"/>
      <c r="Q13" s="1264"/>
      <c r="R13" s="206"/>
      <c r="S13" s="732"/>
      <c r="T13" s="164" t="s">
        <v>467</v>
      </c>
      <c r="U13" s="211"/>
      <c r="V13" s="211"/>
      <c r="W13" s="211"/>
      <c r="X13" s="211"/>
      <c r="Y13" s="211"/>
      <c r="Z13" s="211"/>
      <c r="AA13" s="211"/>
      <c r="AB13" s="211"/>
      <c r="AC13" s="211"/>
      <c r="AD13" s="817"/>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188"/>
      <c r="BC13" s="1262"/>
      <c r="BE13" s="69"/>
      <c r="BF13" s="69" t="str">
        <f t="shared" si="1"/>
        <v>Добавить строку</v>
      </c>
      <c r="BG13" s="69"/>
      <c r="BH13" s="69"/>
    </row>
    <row r="14" spans="1:60" s="68" customFormat="1" ht="14.25" hidden="1" customHeight="1">
      <c r="A14" s="143"/>
      <c r="B14" s="143"/>
      <c r="C14" s="143"/>
      <c r="D14" s="143"/>
      <c r="E14" s="1266"/>
      <c r="F14" s="1266"/>
      <c r="G14" s="1266"/>
      <c r="H14" s="1266"/>
      <c r="I14" s="1263"/>
      <c r="J14" s="143"/>
      <c r="K14" s="143"/>
      <c r="L14" s="338"/>
      <c r="M14" s="288"/>
      <c r="N14" s="288"/>
      <c r="O14" s="288"/>
      <c r="P14" s="1264"/>
      <c r="Q14" s="120"/>
      <c r="R14" s="206"/>
      <c r="S14" s="772"/>
      <c r="T14" s="773"/>
      <c r="U14" s="774"/>
      <c r="V14" s="774"/>
      <c r="W14" s="774"/>
      <c r="X14" s="774"/>
      <c r="Y14" s="774"/>
      <c r="Z14" s="774"/>
      <c r="AA14" s="774"/>
      <c r="AB14" s="774"/>
      <c r="AC14" s="774"/>
      <c r="AD14" s="774"/>
      <c r="AE14" s="774"/>
      <c r="AF14" s="774"/>
      <c r="AG14" s="774"/>
      <c r="AH14" s="774"/>
      <c r="AI14" s="774"/>
      <c r="AJ14" s="774"/>
      <c r="AK14" s="774"/>
      <c r="AL14" s="774"/>
      <c r="AM14" s="774"/>
      <c r="AN14" s="774"/>
      <c r="AO14" s="774"/>
      <c r="AP14" s="774"/>
      <c r="AQ14" s="774"/>
      <c r="AR14" s="774"/>
      <c r="AS14" s="774"/>
      <c r="AT14" s="774"/>
      <c r="AU14" s="774"/>
      <c r="AV14" s="774"/>
      <c r="AW14" s="774"/>
      <c r="AX14" s="774"/>
      <c r="AY14" s="774"/>
      <c r="AZ14" s="774"/>
      <c r="BA14" s="774"/>
      <c r="BB14" s="774"/>
      <c r="BC14" s="775"/>
      <c r="BE14" s="69"/>
      <c r="BF14" s="69" t="str">
        <f t="shared" si="1"/>
        <v/>
      </c>
      <c r="BG14" s="69"/>
      <c r="BH14" s="69"/>
    </row>
    <row r="15" spans="1:60" s="68" customFormat="1" ht="14.25" hidden="1" customHeight="1">
      <c r="A15" s="143"/>
      <c r="B15" s="143"/>
      <c r="C15" s="143"/>
      <c r="D15" s="143"/>
      <c r="E15" s="1266"/>
      <c r="F15" s="1266"/>
      <c r="G15" s="1266"/>
      <c r="H15" s="1265"/>
      <c r="I15" s="143"/>
      <c r="J15" s="143"/>
      <c r="K15" s="143"/>
      <c r="L15" s="338"/>
      <c r="M15" s="291"/>
      <c r="N15" s="291"/>
      <c r="P15" s="102"/>
      <c r="Q15" s="745"/>
      <c r="R15" s="786"/>
      <c r="S15" s="772"/>
      <c r="T15" s="773"/>
      <c r="U15" s="774"/>
      <c r="V15" s="774"/>
      <c r="W15" s="774"/>
      <c r="X15" s="774"/>
      <c r="Y15" s="774"/>
      <c r="Z15" s="774"/>
      <c r="AA15" s="774"/>
      <c r="AB15" s="774"/>
      <c r="AC15" s="774"/>
      <c r="AD15" s="774"/>
      <c r="AE15" s="774"/>
      <c r="AF15" s="774"/>
      <c r="AG15" s="774"/>
      <c r="AH15" s="774"/>
      <c r="AI15" s="774"/>
      <c r="AJ15" s="774"/>
      <c r="AK15" s="774"/>
      <c r="AL15" s="774"/>
      <c r="AM15" s="774"/>
      <c r="AN15" s="774"/>
      <c r="AO15" s="774"/>
      <c r="AP15" s="774"/>
      <c r="AQ15" s="774"/>
      <c r="AR15" s="774"/>
      <c r="AS15" s="774"/>
      <c r="AT15" s="774"/>
      <c r="AU15" s="774"/>
      <c r="AV15" s="774"/>
      <c r="AW15" s="774"/>
      <c r="AX15" s="774"/>
      <c r="AY15" s="774"/>
      <c r="AZ15" s="774"/>
      <c r="BA15" s="774"/>
      <c r="BB15" s="774"/>
      <c r="BC15" s="775"/>
      <c r="BE15" s="69"/>
      <c r="BF15" s="69" t="str">
        <f t="shared" si="1"/>
        <v/>
      </c>
      <c r="BG15" s="69"/>
      <c r="BH15" s="69"/>
    </row>
    <row r="16" spans="1:60" s="68" customFormat="1" ht="14.25" hidden="1" customHeight="1">
      <c r="A16" s="143"/>
      <c r="B16" s="143"/>
      <c r="C16" s="143"/>
      <c r="D16" s="143"/>
      <c r="E16" s="1266"/>
      <c r="F16" s="1266"/>
      <c r="G16" s="1265"/>
      <c r="H16" s="143"/>
      <c r="I16" s="143"/>
      <c r="J16" s="143"/>
      <c r="K16" s="143"/>
      <c r="L16" s="338"/>
      <c r="M16" s="291"/>
      <c r="N16" s="291"/>
      <c r="P16" s="102"/>
      <c r="Q16" s="745"/>
      <c r="R16" s="102"/>
      <c r="S16" s="750"/>
      <c r="T16" s="752"/>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E16" s="69"/>
      <c r="BF16" s="69" t="str">
        <f t="shared" si="1"/>
        <v/>
      </c>
      <c r="BG16" s="69"/>
      <c r="BH16" s="69"/>
    </row>
    <row r="17" spans="1:60" s="68" customFormat="1" ht="14.25" hidden="1" customHeight="1">
      <c r="A17" s="143"/>
      <c r="B17" s="143"/>
      <c r="C17" s="143"/>
      <c r="D17" s="143"/>
      <c r="E17" s="1266"/>
      <c r="F17" s="1265"/>
      <c r="G17" s="143"/>
      <c r="H17" s="143"/>
      <c r="I17" s="143"/>
      <c r="J17" s="143"/>
      <c r="K17" s="143"/>
      <c r="L17" s="338"/>
      <c r="M17" s="749"/>
      <c r="N17" s="749"/>
      <c r="P17" s="102"/>
      <c r="Q17" s="745"/>
      <c r="R17" s="102"/>
      <c r="S17" s="750"/>
      <c r="T17" s="752" t="s">
        <v>414</v>
      </c>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E17" s="69"/>
      <c r="BF17" s="69" t="str">
        <f t="shared" si="1"/>
        <v>Добавить централизованную систему для дифференциации</v>
      </c>
      <c r="BG17" s="69"/>
      <c r="BH17" s="69"/>
    </row>
    <row r="18" spans="1:60" s="68" customFormat="1" ht="14.25" hidden="1" customHeight="1">
      <c r="A18" s="143"/>
      <c r="B18" s="143"/>
      <c r="C18" s="143"/>
      <c r="D18" s="143"/>
      <c r="E18" s="1265"/>
      <c r="F18" s="143"/>
      <c r="G18" s="143"/>
      <c r="H18" s="143"/>
      <c r="I18" s="143"/>
      <c r="J18" s="143"/>
      <c r="K18" s="143"/>
      <c r="L18" s="338"/>
      <c r="M18" s="749"/>
      <c r="N18" s="749"/>
      <c r="P18" s="102"/>
      <c r="Q18" s="745"/>
      <c r="R18" s="102"/>
      <c r="S18" s="750"/>
      <c r="T18" s="752" t="s">
        <v>415</v>
      </c>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E18" s="69"/>
      <c r="BF18" s="69" t="str">
        <f t="shared" si="1"/>
        <v>Добавить территорию для дифференциации</v>
      </c>
      <c r="BG18" s="69"/>
      <c r="BH18" s="69"/>
    </row>
    <row r="19" spans="1:60" ht="14.25" hidden="1" customHeight="1"/>
    <row r="20" spans="1:60" ht="14.25" hidden="1" customHeight="1">
      <c r="AD20" s="311" t="s">
        <v>52</v>
      </c>
      <c r="AE20" s="814"/>
      <c r="AF20" s="311">
        <v>1</v>
      </c>
      <c r="AG20" s="815"/>
      <c r="AH20" s="311" t="s">
        <v>52</v>
      </c>
      <c r="AI20" s="814"/>
      <c r="AJ20" s="311">
        <v>1</v>
      </c>
      <c r="AK20" s="815"/>
      <c r="AL20" s="311" t="s">
        <v>52</v>
      </c>
      <c r="AM20" s="816"/>
      <c r="AN20" s="311">
        <v>1</v>
      </c>
      <c r="AO20" s="125"/>
      <c r="AP20" s="311" t="s">
        <v>52</v>
      </c>
      <c r="AQ20" s="816"/>
      <c r="AR20" s="311">
        <v>1</v>
      </c>
      <c r="AS20" s="125"/>
      <c r="AT20" s="189"/>
      <c r="AU20" s="217"/>
      <c r="AV20" s="189"/>
      <c r="AW20" s="217"/>
      <c r="AX20" s="935"/>
      <c r="AY20" s="806" t="s">
        <v>62</v>
      </c>
      <c r="AZ20" s="935"/>
      <c r="BA20" s="806" t="s">
        <v>62</v>
      </c>
    </row>
    <row r="21" spans="1:60" ht="14.25" hidden="1" customHeight="1">
      <c r="BD21" s="201"/>
      <c r="BE21" s="201"/>
      <c r="BF21" s="201"/>
      <c r="BG21" s="201"/>
      <c r="BH21" s="201"/>
    </row>
    <row r="22" spans="1:60" ht="14.25" hidden="1" customHeight="1">
      <c r="O22" s="761" t="s">
        <v>416</v>
      </c>
      <c r="Z22" s="754"/>
      <c r="AB22" s="754"/>
      <c r="AX22" s="754"/>
      <c r="AZ22" s="754"/>
      <c r="BD22" s="201"/>
      <c r="BE22" s="201"/>
      <c r="BF22" s="201"/>
      <c r="BG22" s="201"/>
      <c r="BH22" s="201"/>
    </row>
    <row r="23" spans="1:60" ht="14.25" hidden="1" customHeight="1">
      <c r="BD23" s="201"/>
      <c r="BE23" s="201"/>
      <c r="BF23" s="201"/>
      <c r="BG23" s="201"/>
      <c r="BH23" s="201"/>
    </row>
    <row r="24" spans="1:60" s="819" customFormat="1" ht="14.25" hidden="1" customHeight="1">
      <c r="M24" s="820"/>
      <c r="N24" s="820"/>
      <c r="O24" s="819" t="s">
        <v>417</v>
      </c>
      <c r="P24" s="820"/>
      <c r="Q24" s="821"/>
      <c r="R24" s="821"/>
      <c r="AA24" s="819" t="s">
        <v>419</v>
      </c>
      <c r="AC24" s="819" t="s">
        <v>420</v>
      </c>
      <c r="AD24" s="819" t="s">
        <v>468</v>
      </c>
      <c r="AH24" s="819" t="s">
        <v>468</v>
      </c>
      <c r="AK24" s="819" t="s">
        <v>505</v>
      </c>
      <c r="AL24" s="819" t="s">
        <v>468</v>
      </c>
      <c r="AP24" s="819" t="s">
        <v>468</v>
      </c>
      <c r="AY24" s="819" t="s">
        <v>419</v>
      </c>
      <c r="BA24" s="819" t="s">
        <v>420</v>
      </c>
      <c r="BD24" s="822"/>
      <c r="BE24" s="822"/>
      <c r="BF24" s="822"/>
      <c r="BG24" s="822"/>
      <c r="BH24" s="822"/>
    </row>
    <row r="25" spans="1:60" ht="14.25" hidden="1" customHeight="1">
      <c r="O25" s="760"/>
      <c r="BD25" s="201"/>
      <c r="BE25" s="201"/>
      <c r="BF25" s="201"/>
      <c r="BG25" s="201"/>
      <c r="BH25" s="201"/>
    </row>
    <row r="26" spans="1:60" ht="14.25" hidden="1" customHeight="1">
      <c r="O26" s="760"/>
      <c r="BD26" s="201"/>
      <c r="BE26" s="201"/>
      <c r="BF26" s="201"/>
      <c r="BG26" s="201"/>
      <c r="BH26" s="201"/>
    </row>
    <row r="27" spans="1:60" ht="14.25" customHeight="1">
      <c r="Q27" s="166"/>
      <c r="R27" s="29"/>
      <c r="S27" s="729"/>
      <c r="T27" s="11"/>
      <c r="U27" s="11"/>
    </row>
    <row r="28" spans="1:60" ht="14.25" customHeight="1">
      <c r="Q28" s="166"/>
      <c r="R28" s="29"/>
      <c r="S28" s="1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49"/>
      <c r="U28" s="1249"/>
      <c r="V28" s="1249"/>
      <c r="W28" s="1249"/>
      <c r="X28" s="1249"/>
      <c r="Y28" s="1249"/>
      <c r="Z28" s="1249"/>
      <c r="AA28" s="1249"/>
      <c r="AB28" s="1249"/>
      <c r="AC28" s="1249"/>
      <c r="AD28" s="1249"/>
      <c r="AE28" s="1249"/>
      <c r="AF28" s="1249"/>
      <c r="AG28" s="1249"/>
      <c r="AH28" s="1249"/>
      <c r="AI28" s="1249"/>
      <c r="AJ28" s="1249"/>
      <c r="AK28" s="1249"/>
      <c r="AL28" s="1249"/>
      <c r="AM28" s="1249"/>
      <c r="AN28" s="1249"/>
      <c r="AO28" s="1249"/>
      <c r="AP28" s="1249"/>
      <c r="AQ28" s="1249"/>
      <c r="AR28" s="1249"/>
      <c r="AS28" s="1249"/>
      <c r="AT28" s="1249"/>
      <c r="AU28" s="1249"/>
      <c r="AV28" s="1249"/>
      <c r="AW28" s="1249"/>
      <c r="AX28" s="1249"/>
      <c r="AY28" s="1249"/>
      <c r="AZ28" s="1249"/>
      <c r="BA28" s="60"/>
    </row>
    <row r="29" spans="1:60" ht="14.25" customHeight="1">
      <c r="Q29" s="166"/>
      <c r="R29" s="29"/>
      <c r="S29" s="1194" t="str">
        <f>IF(org=0,"Не определено",org)</f>
        <v>АО "ХТК"</v>
      </c>
      <c r="T29" s="1194"/>
      <c r="U29" s="1194"/>
      <c r="V29" s="1194"/>
      <c r="W29" s="1194"/>
      <c r="X29" s="1194"/>
      <c r="Y29" s="1194"/>
      <c r="Z29" s="1194"/>
      <c r="AA29" s="1194"/>
      <c r="AB29" s="1194"/>
      <c r="AC29" s="1194"/>
      <c r="AD29" s="1194"/>
      <c r="AE29" s="1194"/>
      <c r="AF29" s="1194"/>
      <c r="AG29" s="1194"/>
      <c r="AH29" s="1194"/>
      <c r="AI29" s="1194"/>
      <c r="AJ29" s="1194"/>
      <c r="AK29" s="1194"/>
      <c r="AL29" s="1194"/>
      <c r="AM29" s="1194"/>
      <c r="AN29" s="1194"/>
      <c r="AO29" s="1194"/>
      <c r="AP29" s="1194"/>
      <c r="AQ29" s="1194"/>
      <c r="AR29" s="1194"/>
      <c r="AS29" s="1194"/>
      <c r="AT29" s="1194"/>
      <c r="AU29" s="1194"/>
      <c r="AV29" s="1194"/>
      <c r="AW29" s="1194"/>
      <c r="AX29" s="1194"/>
      <c r="AY29" s="1194"/>
      <c r="AZ29" s="1194"/>
      <c r="BA29" s="60"/>
    </row>
    <row r="30" spans="1:60" ht="14.25" hidden="1" customHeight="1">
      <c r="Q30" s="166"/>
      <c r="R30" s="29"/>
      <c r="S30" s="729"/>
      <c r="T30" s="11"/>
      <c r="U30" s="11"/>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row>
    <row r="31" spans="1:60" s="36" customFormat="1" ht="25.5" hidden="1" customHeight="1">
      <c r="A31" s="81"/>
      <c r="B31" s="81"/>
      <c r="C31" s="81"/>
      <c r="D31" s="81"/>
      <c r="E31" s="81"/>
      <c r="F31" s="81"/>
      <c r="G31" s="81"/>
      <c r="H31" s="81"/>
      <c r="I31" s="81"/>
      <c r="J31" s="81"/>
      <c r="K31" s="81"/>
      <c r="L31" s="760"/>
      <c r="M31" s="81"/>
      <c r="N31" s="81"/>
      <c r="O31" s="81"/>
      <c r="P31" s="81"/>
      <c r="Q31" s="81"/>
      <c r="S31" s="1257" t="s">
        <v>37</v>
      </c>
      <c r="T31" s="1257"/>
      <c r="U31" s="763"/>
      <c r="V31" s="1258" t="str">
        <f>IF(TITLE_NAME_OR_PR_CHANGE="",IF(TITLE_NAME_OR_PR="","",TITLE_NAME_OR_PR),TITLE_NAME_OR_PR_CHANGE)</f>
        <v/>
      </c>
      <c r="W31" s="1258"/>
      <c r="X31" s="1258"/>
      <c r="Y31" s="1258"/>
      <c r="Z31" s="1258"/>
      <c r="AA31" s="1258"/>
      <c r="AB31" s="1258"/>
      <c r="AC31" s="12"/>
      <c r="AD31" s="1258" t="str">
        <f>IF(TITLE_NAME_OR_PR_CHANGE="",IF(TITLE_NAME_OR_PR="","",TITLE_NAME_OR_PR),TITLE_NAME_OR_PR_CHANGE)</f>
        <v/>
      </c>
      <c r="AE31" s="1258"/>
      <c r="AF31" s="1258"/>
      <c r="AG31" s="1258"/>
      <c r="AH31" s="1258"/>
      <c r="AI31" s="1258"/>
      <c r="AJ31" s="1258"/>
      <c r="AK31" s="1258"/>
      <c r="AL31" s="1258"/>
      <c r="AM31" s="1258"/>
      <c r="AN31" s="1258"/>
      <c r="AO31" s="1258"/>
      <c r="AP31" s="1258"/>
      <c r="AQ31" s="1258"/>
      <c r="AR31" s="1258"/>
      <c r="AS31" s="1258"/>
      <c r="AT31" s="1258"/>
      <c r="AU31" s="1258"/>
      <c r="AV31" s="1258"/>
      <c r="AW31" s="1258"/>
      <c r="AX31" s="1258"/>
      <c r="AY31" s="1258"/>
      <c r="AZ31" s="1258"/>
      <c r="BA31" s="12"/>
      <c r="BB31" s="12"/>
      <c r="BC31" s="161"/>
      <c r="BD31" s="69"/>
      <c r="BE31" s="69"/>
      <c r="BF31" s="69"/>
      <c r="BG31" s="69"/>
      <c r="BH31" s="69"/>
    </row>
    <row r="32" spans="1:60" s="36" customFormat="1" ht="18.75" hidden="1" customHeight="1">
      <c r="A32" s="81"/>
      <c r="B32" s="81"/>
      <c r="C32" s="81"/>
      <c r="D32" s="81"/>
      <c r="E32" s="81"/>
      <c r="F32" s="81"/>
      <c r="G32" s="81"/>
      <c r="H32" s="81"/>
      <c r="I32" s="81"/>
      <c r="J32" s="81"/>
      <c r="K32" s="81"/>
      <c r="L32" s="760"/>
      <c r="M32" s="81"/>
      <c r="N32" s="81"/>
      <c r="O32" s="81"/>
      <c r="P32" s="81"/>
      <c r="Q32" s="81"/>
      <c r="S32" s="1257" t="s">
        <v>422</v>
      </c>
      <c r="T32" s="1257"/>
      <c r="U32" s="763"/>
      <c r="V32" s="1267" t="str">
        <f>IF(TITLE_DATE_PR_CHANGE="",IF(TITLE_DATE_PR="","",TITLE_DATE_PR),TITLE_DATE_PR_CHANGE)</f>
        <v/>
      </c>
      <c r="W32" s="1267"/>
      <c r="X32" s="1267"/>
      <c r="Y32" s="1267"/>
      <c r="Z32" s="1267"/>
      <c r="AA32" s="1267"/>
      <c r="AB32" s="1267"/>
      <c r="AC32" s="12"/>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2"/>
      <c r="BB32" s="12"/>
      <c r="BC32" s="161"/>
      <c r="BD32" s="69"/>
      <c r="BE32" s="69"/>
      <c r="BF32" s="69"/>
      <c r="BG32" s="69"/>
      <c r="BH32" s="69"/>
    </row>
    <row r="33" spans="1:60" s="36" customFormat="1" ht="18.75" hidden="1" customHeight="1">
      <c r="A33" s="81"/>
      <c r="B33" s="81"/>
      <c r="C33" s="81"/>
      <c r="D33" s="81"/>
      <c r="E33" s="81"/>
      <c r="F33" s="81"/>
      <c r="G33" s="81"/>
      <c r="H33" s="81"/>
      <c r="I33" s="81"/>
      <c r="J33" s="81"/>
      <c r="K33" s="81"/>
      <c r="L33" s="760"/>
      <c r="M33" s="81"/>
      <c r="N33" s="81"/>
      <c r="O33" s="81"/>
      <c r="P33" s="81"/>
      <c r="Q33" s="81"/>
      <c r="S33" s="1257" t="s">
        <v>423</v>
      </c>
      <c r="T33" s="1257"/>
      <c r="U33" s="763"/>
      <c r="V33" s="1258" t="str">
        <f>IF(TITLE_NUMBER_PR_CHANGE="",IF(TITLE_NUMBER_PR="","",TITLE_NUMBER_PR),TITLE_NUMBER_PR_CHANGE)</f>
        <v/>
      </c>
      <c r="W33" s="1258"/>
      <c r="X33" s="1258"/>
      <c r="Y33" s="1258"/>
      <c r="Z33" s="1258"/>
      <c r="AA33" s="1258"/>
      <c r="AB33" s="1258"/>
      <c r="AC33" s="12"/>
      <c r="AD33" s="1258" t="str">
        <f>IF(TITLE_NUMBER_PR_CHANGE="",IF(TITLE_NUMBER_PR="","",TITLE_NUMBER_PR),TITLE_NUMBER_PR_CHANGE)</f>
        <v/>
      </c>
      <c r="AE33" s="1258"/>
      <c r="AF33" s="1258"/>
      <c r="AG33" s="1258"/>
      <c r="AH33" s="1258"/>
      <c r="AI33" s="1258"/>
      <c r="AJ33" s="1258"/>
      <c r="AK33" s="1258"/>
      <c r="AL33" s="1258"/>
      <c r="AM33" s="1258"/>
      <c r="AN33" s="1258"/>
      <c r="AO33" s="1258"/>
      <c r="AP33" s="1258"/>
      <c r="AQ33" s="1258"/>
      <c r="AR33" s="1258"/>
      <c r="AS33" s="1258"/>
      <c r="AT33" s="1258"/>
      <c r="AU33" s="1258"/>
      <c r="AV33" s="1258"/>
      <c r="AW33" s="1258"/>
      <c r="AX33" s="1258"/>
      <c r="AY33" s="1258"/>
      <c r="AZ33" s="1258"/>
      <c r="BA33" s="12"/>
      <c r="BB33" s="12"/>
      <c r="BC33" s="161"/>
      <c r="BD33" s="69"/>
      <c r="BE33" s="69"/>
      <c r="BF33" s="69"/>
      <c r="BG33" s="69"/>
      <c r="BH33" s="69"/>
    </row>
    <row r="34" spans="1:60" s="36" customFormat="1" ht="18.75" hidden="1" customHeight="1">
      <c r="A34" s="81"/>
      <c r="B34" s="81"/>
      <c r="C34" s="81"/>
      <c r="D34" s="81"/>
      <c r="E34" s="81"/>
      <c r="F34" s="81"/>
      <c r="G34" s="81"/>
      <c r="H34" s="81"/>
      <c r="I34" s="81"/>
      <c r="J34" s="81"/>
      <c r="K34" s="81"/>
      <c r="L34" s="760"/>
      <c r="M34" s="81"/>
      <c r="N34" s="81"/>
      <c r="O34" s="81"/>
      <c r="P34" s="81"/>
      <c r="Q34" s="81"/>
      <c r="S34" s="1257" t="s">
        <v>38</v>
      </c>
      <c r="T34" s="1257"/>
      <c r="U34" s="763"/>
      <c r="V34" s="1258" t="str">
        <f>IF(TITLE_IST_PUB_CHANGE="",IF(TITLE_IST_PUB="","",TITLE_IST_PUB),TITLE_IST_PUB_CHANGE)</f>
        <v/>
      </c>
      <c r="W34" s="1258"/>
      <c r="X34" s="1258"/>
      <c r="Y34" s="1258"/>
      <c r="Z34" s="1258"/>
      <c r="AA34" s="1258"/>
      <c r="AB34" s="1258"/>
      <c r="AC34" s="12"/>
      <c r="AD34" s="1258" t="str">
        <f>IF(TITLE_IST_PUB_CHANGE="",IF(TITLE_IST_PUB="","",TITLE_IST_PUB),TITLE_IST_PUB_CHANGE)</f>
        <v/>
      </c>
      <c r="AE34" s="1258"/>
      <c r="AF34" s="1258"/>
      <c r="AG34" s="1258"/>
      <c r="AH34" s="1258"/>
      <c r="AI34" s="1258"/>
      <c r="AJ34" s="1258"/>
      <c r="AK34" s="1258"/>
      <c r="AL34" s="1258"/>
      <c r="AM34" s="1258"/>
      <c r="AN34" s="1258"/>
      <c r="AO34" s="1258"/>
      <c r="AP34" s="1258"/>
      <c r="AQ34" s="1258"/>
      <c r="AR34" s="1258"/>
      <c r="AS34" s="1258"/>
      <c r="AT34" s="1258"/>
      <c r="AU34" s="1258"/>
      <c r="AV34" s="1258"/>
      <c r="AW34" s="1258"/>
      <c r="AX34" s="1258"/>
      <c r="AY34" s="1258"/>
      <c r="AZ34" s="1258"/>
      <c r="BA34" s="12"/>
      <c r="BB34" s="12"/>
      <c r="BC34" s="161"/>
      <c r="BD34" s="69"/>
      <c r="BE34" s="69"/>
      <c r="BF34" s="69"/>
      <c r="BG34" s="69"/>
      <c r="BH34" s="69"/>
    </row>
    <row r="35" spans="1:60" ht="14.25" hidden="1" customHeight="1">
      <c r="Q35" s="166"/>
      <c r="R35" s="29"/>
      <c r="S35" s="729"/>
      <c r="T35" s="11"/>
      <c r="U35" s="11"/>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row>
    <row r="36" spans="1:60" s="36" customFormat="1" ht="18.75" hidden="1" customHeight="1">
      <c r="A36" s="81"/>
      <c r="B36" s="81"/>
      <c r="C36" s="81"/>
      <c r="D36" s="81"/>
      <c r="E36" s="81"/>
      <c r="F36" s="81"/>
      <c r="G36" s="81"/>
      <c r="H36" s="81"/>
      <c r="I36" s="81"/>
      <c r="J36" s="81"/>
      <c r="K36" s="81"/>
      <c r="L36" s="760"/>
      <c r="M36" s="81"/>
      <c r="N36" s="81"/>
      <c r="O36" s="81"/>
      <c r="P36" s="81"/>
      <c r="Q36" s="81"/>
      <c r="S36" s="1257" t="s">
        <v>422</v>
      </c>
      <c r="T36" s="1257"/>
      <c r="U36" s="763"/>
      <c r="V36" s="1267" t="str">
        <f>IF(TITLE_DATE_PR_CHANGE="",IF(TITLE_DATE_PR="","",TITLE_DATE_PR),TITLE_DATE_PR_CHANGE)</f>
        <v/>
      </c>
      <c r="W36" s="1267"/>
      <c r="X36" s="1267"/>
      <c r="Y36" s="1267"/>
      <c r="Z36" s="1267"/>
      <c r="AA36" s="1267"/>
      <c r="AB36" s="1267"/>
      <c r="AC36" s="12"/>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2"/>
      <c r="BB36" s="12"/>
      <c r="BC36" s="161"/>
      <c r="BD36" s="69"/>
      <c r="BE36" s="69"/>
      <c r="BF36" s="69"/>
      <c r="BG36" s="69"/>
      <c r="BH36" s="69"/>
    </row>
    <row r="37" spans="1:60" s="36" customFormat="1" ht="18.75" hidden="1" customHeight="1">
      <c r="A37" s="81"/>
      <c r="B37" s="81"/>
      <c r="C37" s="81"/>
      <c r="D37" s="81"/>
      <c r="E37" s="81"/>
      <c r="F37" s="81"/>
      <c r="G37" s="81"/>
      <c r="H37" s="81"/>
      <c r="I37" s="81"/>
      <c r="J37" s="81"/>
      <c r="K37" s="81"/>
      <c r="L37" s="760"/>
      <c r="M37" s="81"/>
      <c r="N37" s="81"/>
      <c r="O37" s="81"/>
      <c r="P37" s="81"/>
      <c r="Q37" s="81"/>
      <c r="S37" s="1257" t="s">
        <v>423</v>
      </c>
      <c r="T37" s="1257"/>
      <c r="U37" s="763"/>
      <c r="V37" s="1258" t="str">
        <f>IF(TITLE_NUMBER_PR_CHANGE="",IF(TITLE_NUMBER_PR="","",TITLE_NUMBER_PR),TITLE_NUMBER_PR_CHANGE)</f>
        <v/>
      </c>
      <c r="W37" s="1258"/>
      <c r="X37" s="1258"/>
      <c r="Y37" s="1258"/>
      <c r="Z37" s="1258"/>
      <c r="AA37" s="1258"/>
      <c r="AB37" s="1258"/>
      <c r="AC37" s="12"/>
      <c r="AD37" s="1258" t="str">
        <f>IF(TITLE_NUMBER_PR_CHANGE="",IF(TITLE_NUMBER_PR="","",TITLE_NUMBER_PR),TITLE_NUMBER_PR_CHANGE)</f>
        <v/>
      </c>
      <c r="AE37" s="1258"/>
      <c r="AF37" s="1258"/>
      <c r="AG37" s="1258"/>
      <c r="AH37" s="1258"/>
      <c r="AI37" s="1258"/>
      <c r="AJ37" s="1258"/>
      <c r="AK37" s="1258"/>
      <c r="AL37" s="1258"/>
      <c r="AM37" s="1258"/>
      <c r="AN37" s="1258"/>
      <c r="AO37" s="1258"/>
      <c r="AP37" s="1258"/>
      <c r="AQ37" s="1258"/>
      <c r="AR37" s="1258"/>
      <c r="AS37" s="1258"/>
      <c r="AT37" s="1258"/>
      <c r="AU37" s="1258"/>
      <c r="AV37" s="1258"/>
      <c r="AW37" s="1258"/>
      <c r="AX37" s="1258"/>
      <c r="AY37" s="1258"/>
      <c r="AZ37" s="1258"/>
      <c r="BA37" s="12"/>
      <c r="BB37" s="12"/>
      <c r="BC37" s="161"/>
      <c r="BD37" s="69"/>
      <c r="BE37" s="69"/>
      <c r="BF37" s="69"/>
      <c r="BG37" s="69"/>
      <c r="BH37" s="69"/>
    </row>
    <row r="38" spans="1:60" s="36" customFormat="1" ht="0" hidden="1" customHeight="1">
      <c r="A38" s="81"/>
      <c r="B38" s="81"/>
      <c r="C38" s="81"/>
      <c r="D38" s="81"/>
      <c r="E38" s="81"/>
      <c r="F38" s="81"/>
      <c r="G38" s="81"/>
      <c r="H38" s="81"/>
      <c r="I38" s="81"/>
      <c r="J38" s="81"/>
      <c r="K38" s="81"/>
      <c r="L38" s="760"/>
      <c r="M38" s="81"/>
      <c r="N38" s="81"/>
      <c r="O38" s="81"/>
      <c r="P38" s="81"/>
      <c r="Q38" s="81"/>
      <c r="S38" s="12"/>
      <c r="T38" s="12"/>
      <c r="U38" s="77"/>
      <c r="V38" s="12"/>
      <c r="W38" s="12"/>
      <c r="X38" s="12"/>
      <c r="Y38" s="12"/>
      <c r="Z38" s="12"/>
      <c r="AA38" s="12"/>
      <c r="AB38" s="12"/>
      <c r="AC38" s="68" t="s">
        <v>426</v>
      </c>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68" t="s">
        <v>426</v>
      </c>
      <c r="BD38" s="69"/>
      <c r="BE38" s="69"/>
      <c r="BF38" s="69"/>
      <c r="BG38" s="69"/>
      <c r="BH38" s="69"/>
    </row>
    <row r="39" spans="1:60" ht="14.25" customHeight="1">
      <c r="Q39" s="166"/>
      <c r="R39" s="29"/>
      <c r="S39" s="729"/>
      <c r="T39" s="11"/>
      <c r="U39" s="70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U39" s="1259"/>
      <c r="AV39" s="1259"/>
      <c r="AW39" s="1259"/>
      <c r="AX39" s="1259"/>
      <c r="AY39" s="1259"/>
      <c r="AZ39" s="1259"/>
      <c r="BA39" s="1259"/>
    </row>
    <row r="40" spans="1:60" ht="14.25" customHeight="1">
      <c r="Q40" s="166"/>
      <c r="R40" s="29"/>
      <c r="S40" s="1146" t="s">
        <v>299</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300</v>
      </c>
    </row>
    <row r="41" spans="1:60" ht="14.25" customHeight="1">
      <c r="Q41" s="166"/>
      <c r="R41" s="29"/>
      <c r="S41" s="1273" t="s">
        <v>84</v>
      </c>
      <c r="T41" s="1224" t="s">
        <v>506</v>
      </c>
      <c r="U41" s="170"/>
      <c r="V41" s="1274" t="s">
        <v>428</v>
      </c>
      <c r="W41" s="1275"/>
      <c r="X41" s="1275"/>
      <c r="Y41" s="1275"/>
      <c r="Z41" s="1275"/>
      <c r="AA41" s="1275"/>
      <c r="AB41" s="1276"/>
      <c r="AC41" s="1277" t="s">
        <v>429</v>
      </c>
      <c r="AD41" s="1310" t="s">
        <v>523</v>
      </c>
      <c r="AE41" s="1291"/>
      <c r="AF41" s="1291"/>
      <c r="AG41" s="1311"/>
      <c r="AH41" s="1310" t="s">
        <v>524</v>
      </c>
      <c r="AI41" s="1291"/>
      <c r="AJ41" s="1291"/>
      <c r="AK41" s="1311"/>
      <c r="AL41" s="1310" t="s">
        <v>525</v>
      </c>
      <c r="AM41" s="1291"/>
      <c r="AN41" s="1291"/>
      <c r="AO41" s="1311"/>
      <c r="AP41" s="1310" t="s">
        <v>510</v>
      </c>
      <c r="AQ41" s="1291"/>
      <c r="AR41" s="1291"/>
      <c r="AS41" s="1311"/>
      <c r="AT41" s="1274" t="s">
        <v>428</v>
      </c>
      <c r="AU41" s="1275"/>
      <c r="AV41" s="1275"/>
      <c r="AW41" s="1275"/>
      <c r="AX41" s="1275"/>
      <c r="AY41" s="1275"/>
      <c r="AZ41" s="1276"/>
      <c r="BA41" s="1277" t="s">
        <v>429</v>
      </c>
      <c r="BB41" s="1280" t="s">
        <v>431</v>
      </c>
      <c r="BC41" s="1146"/>
    </row>
    <row r="42" spans="1:60" ht="33.75" customHeight="1">
      <c r="Q42" s="166"/>
      <c r="R42" s="29"/>
      <c r="S42" s="1273"/>
      <c r="T42" s="1224"/>
      <c r="U42" s="595"/>
      <c r="V42" s="1210" t="s">
        <v>511</v>
      </c>
      <c r="W42" s="1211"/>
      <c r="X42" s="1210" t="s">
        <v>512</v>
      </c>
      <c r="Y42" s="1211"/>
      <c r="Z42" s="1210" t="s">
        <v>513</v>
      </c>
      <c r="AA42" s="1305"/>
      <c r="AB42" s="1211"/>
      <c r="AC42" s="1278"/>
      <c r="AD42" s="1312"/>
      <c r="AE42" s="1313"/>
      <c r="AF42" s="1313"/>
      <c r="AG42" s="1314"/>
      <c r="AH42" s="1312"/>
      <c r="AI42" s="1313"/>
      <c r="AJ42" s="1313"/>
      <c r="AK42" s="1314"/>
      <c r="AL42" s="1312"/>
      <c r="AM42" s="1313"/>
      <c r="AN42" s="1313"/>
      <c r="AO42" s="1314"/>
      <c r="AP42" s="1312"/>
      <c r="AQ42" s="1313"/>
      <c r="AR42" s="1313"/>
      <c r="AS42" s="1314"/>
      <c r="AT42" s="1210" t="s">
        <v>526</v>
      </c>
      <c r="AU42" s="1211"/>
      <c r="AV42" s="1210" t="s">
        <v>527</v>
      </c>
      <c r="AW42" s="1211"/>
      <c r="AX42" s="1210" t="s">
        <v>513</v>
      </c>
      <c r="AY42" s="1305"/>
      <c r="AZ42" s="1211"/>
      <c r="BA42" s="1278"/>
      <c r="BB42" s="1281"/>
      <c r="BC42" s="1146"/>
    </row>
    <row r="43" spans="1:60" ht="14.25" customHeight="1">
      <c r="Q43" s="166"/>
      <c r="R43" s="29"/>
      <c r="S43" s="1273"/>
      <c r="T43" s="1224"/>
      <c r="U43" s="595"/>
      <c r="V43" s="1215"/>
      <c r="W43" s="1216"/>
      <c r="X43" s="1215"/>
      <c r="Y43" s="1216"/>
      <c r="Z43" s="1215"/>
      <c r="AA43" s="1306"/>
      <c r="AB43" s="1216"/>
      <c r="AC43" s="1278"/>
      <c r="AD43" s="1312"/>
      <c r="AE43" s="1313"/>
      <c r="AF43" s="1313"/>
      <c r="AG43" s="1314"/>
      <c r="AH43" s="1312"/>
      <c r="AI43" s="1313"/>
      <c r="AJ43" s="1313"/>
      <c r="AK43" s="1314"/>
      <c r="AL43" s="1312"/>
      <c r="AM43" s="1313"/>
      <c r="AN43" s="1313"/>
      <c r="AO43" s="1314"/>
      <c r="AP43" s="1312"/>
      <c r="AQ43" s="1313"/>
      <c r="AR43" s="1313"/>
      <c r="AS43" s="1314"/>
      <c r="AT43" s="1215"/>
      <c r="AU43" s="1216"/>
      <c r="AV43" s="1215"/>
      <c r="AW43" s="1216"/>
      <c r="AX43" s="1215"/>
      <c r="AY43" s="1306"/>
      <c r="AZ43" s="1216"/>
      <c r="BA43" s="1278"/>
      <c r="BB43" s="1281"/>
      <c r="BC43" s="1146"/>
    </row>
    <row r="44" spans="1:60" ht="14.25" customHeight="1">
      <c r="A44" s="81"/>
      <c r="B44" s="81" t="s">
        <v>136</v>
      </c>
      <c r="C44" s="81" t="s">
        <v>137</v>
      </c>
      <c r="D44" s="81" t="s">
        <v>138</v>
      </c>
      <c r="E44" s="760" t="s">
        <v>436</v>
      </c>
      <c r="F44" s="760" t="s">
        <v>437</v>
      </c>
      <c r="G44" s="760" t="s">
        <v>438</v>
      </c>
      <c r="H44" s="760" t="s">
        <v>439</v>
      </c>
      <c r="I44" s="760" t="s">
        <v>440</v>
      </c>
      <c r="J44" s="760" t="s">
        <v>441</v>
      </c>
      <c r="K44" s="760" t="s">
        <v>442</v>
      </c>
      <c r="L44" s="760" t="s">
        <v>417</v>
      </c>
      <c r="Q44" s="166"/>
      <c r="R44" s="29"/>
      <c r="S44" s="1273"/>
      <c r="T44" s="1224"/>
      <c r="U44" s="171"/>
      <c r="V44" s="37" t="s">
        <v>477</v>
      </c>
      <c r="W44" s="37" t="s">
        <v>478</v>
      </c>
      <c r="X44" s="37" t="s">
        <v>477</v>
      </c>
      <c r="Y44" s="37" t="s">
        <v>478</v>
      </c>
      <c r="Z44" s="40" t="s">
        <v>445</v>
      </c>
      <c r="AA44" s="1233" t="s">
        <v>446</v>
      </c>
      <c r="AB44" s="1235"/>
      <c r="AC44" s="1279"/>
      <c r="AD44" s="1315"/>
      <c r="AE44" s="1316"/>
      <c r="AF44" s="1316"/>
      <c r="AG44" s="1317"/>
      <c r="AH44" s="1315"/>
      <c r="AI44" s="1316"/>
      <c r="AJ44" s="1316"/>
      <c r="AK44" s="1317"/>
      <c r="AL44" s="1315"/>
      <c r="AM44" s="1316"/>
      <c r="AN44" s="1316"/>
      <c r="AO44" s="1317"/>
      <c r="AP44" s="1315"/>
      <c r="AQ44" s="1316"/>
      <c r="AR44" s="1316"/>
      <c r="AS44" s="1317"/>
      <c r="AT44" s="37" t="s">
        <v>477</v>
      </c>
      <c r="AU44" s="37" t="s">
        <v>478</v>
      </c>
      <c r="AV44" s="37" t="s">
        <v>477</v>
      </c>
      <c r="AW44" s="37" t="s">
        <v>478</v>
      </c>
      <c r="AX44" s="40" t="s">
        <v>445</v>
      </c>
      <c r="AY44" s="1233" t="s">
        <v>446</v>
      </c>
      <c r="AZ44" s="1235"/>
      <c r="BA44" s="1279"/>
      <c r="BB44" s="1282"/>
      <c r="BC44" s="1146"/>
    </row>
    <row r="45" spans="1:60" s="201" customFormat="1" ht="11.25" hidden="1" customHeight="1">
      <c r="A45" s="81"/>
      <c r="B45" s="81"/>
      <c r="C45" s="81"/>
      <c r="D45" s="81"/>
      <c r="E45" s="81"/>
      <c r="F45" s="81"/>
      <c r="G45" s="81"/>
      <c r="H45" s="81"/>
      <c r="I45" s="81"/>
      <c r="J45" s="81"/>
      <c r="K45" s="81"/>
      <c r="L45" s="760"/>
      <c r="M45" s="497"/>
      <c r="N45" s="497"/>
      <c r="O45" s="497"/>
      <c r="P45" s="288"/>
      <c r="Q45" s="714"/>
      <c r="R45" s="714">
        <v>1</v>
      </c>
      <c r="S45" s="731" t="s">
        <v>105</v>
      </c>
      <c r="T45" s="715" t="s">
        <v>106</v>
      </c>
      <c r="U45" s="710" t="str">
        <f ca="1">OFFSET(U45,0,-1)</f>
        <v>2</v>
      </c>
      <c r="V45" s="716">
        <f t="shared" ref="V45:AA45" ca="1" si="2">OFFSET(V45,0,-1)+1</f>
        <v>3</v>
      </c>
      <c r="W45" s="716">
        <f t="shared" ca="1" si="2"/>
        <v>4</v>
      </c>
      <c r="X45" s="716">
        <f t="shared" ca="1" si="2"/>
        <v>5</v>
      </c>
      <c r="Y45" s="716">
        <f t="shared" ca="1" si="2"/>
        <v>6</v>
      </c>
      <c r="Z45" s="716">
        <f t="shared" ca="1" si="2"/>
        <v>7</v>
      </c>
      <c r="AA45" s="1272">
        <f t="shared" ca="1" si="2"/>
        <v>8</v>
      </c>
      <c r="AB45" s="1272"/>
      <c r="AC45" s="716">
        <f ca="1">OFFSET(AC45,0,-2)+1</f>
        <v>9</v>
      </c>
      <c r="AD45" s="716">
        <f ca="1">OFFSET(AD45,0,-1)+1</f>
        <v>10</v>
      </c>
      <c r="AE45" s="716"/>
      <c r="AF45" s="716"/>
      <c r="AG45" s="716"/>
      <c r="AH45" s="716"/>
      <c r="AI45" s="716"/>
      <c r="AJ45" s="716"/>
      <c r="AK45" s="716"/>
      <c r="AL45" s="716"/>
      <c r="AM45" s="716"/>
      <c r="AN45" s="716"/>
      <c r="AO45" s="716"/>
      <c r="AP45" s="716"/>
      <c r="AQ45" s="716"/>
      <c r="AR45" s="716"/>
      <c r="AS45" s="716"/>
      <c r="AT45" s="716"/>
      <c r="AU45" s="716"/>
      <c r="AV45" s="716"/>
      <c r="AW45" s="716">
        <f ca="1">OFFSET(AW45,0,-1)+1</f>
        <v>1</v>
      </c>
      <c r="AX45" s="716">
        <f ca="1">OFFSET(AX45,0,-1)+1</f>
        <v>2</v>
      </c>
      <c r="AY45" s="1272">
        <f ca="1">OFFSET(AY45,0,-1)+1</f>
        <v>3</v>
      </c>
      <c r="AZ45" s="1272"/>
      <c r="BA45" s="716">
        <f ca="1">OFFSET(BA45,0,-2)+1</f>
        <v>4</v>
      </c>
      <c r="BB45" s="710">
        <f ca="1">OFFSET(BB45,0,-1)</f>
        <v>4</v>
      </c>
      <c r="BC45" s="716">
        <f ca="1">OFFSET(BC45,0,-1)+1</f>
        <v>5</v>
      </c>
      <c r="BD45" s="68"/>
      <c r="BE45" s="68"/>
      <c r="BF45" s="68"/>
      <c r="BG45" s="68"/>
      <c r="BH45" s="68"/>
    </row>
    <row r="46" spans="1:60" ht="21" customHeight="1">
      <c r="A46" s="759" t="s">
        <v>275</v>
      </c>
      <c r="B46" s="759"/>
      <c r="C46" s="759"/>
      <c r="D46" s="759"/>
      <c r="E46" s="1265">
        <v>1</v>
      </c>
      <c r="F46" s="759"/>
      <c r="G46" s="759"/>
      <c r="H46" s="759"/>
      <c r="I46" s="759"/>
      <c r="J46" s="759"/>
      <c r="K46" s="759"/>
      <c r="L46" s="760"/>
      <c r="M46" s="417"/>
      <c r="N46" s="417"/>
      <c r="O46" s="417"/>
      <c r="Q46" s="62"/>
      <c r="R46" s="205"/>
      <c r="S46" s="698">
        <f>INDEX(PT_DIFFERENTIATION_NUM_NTAR,MATCH(A46,PT_DIFFERENTIATION_NTAR_ID,0))</f>
        <v>0</v>
      </c>
      <c r="T46" s="67" t="s">
        <v>124</v>
      </c>
      <c r="U46" s="169"/>
      <c r="V46" s="1252"/>
      <c r="W46" s="1252"/>
      <c r="X46" s="1252"/>
      <c r="Y46" s="1252"/>
      <c r="Z46" s="1252"/>
      <c r="AA46" s="1252"/>
      <c r="AB46" s="1252"/>
      <c r="AC46" s="1253"/>
      <c r="AD46" s="1251" t="str">
        <f>INDEX(PT_DIFFERENTIATION_NTAR,MATCH(A46,PT_DIFFERENTIATION_NTAR_ID,0))</f>
        <v/>
      </c>
      <c r="AE46" s="1252"/>
      <c r="AF46" s="1252"/>
      <c r="AG46" s="1252"/>
      <c r="AH46" s="1252"/>
      <c r="AI46" s="1252"/>
      <c r="AJ46" s="1252"/>
      <c r="AK46" s="1252"/>
      <c r="AL46" s="1252"/>
      <c r="AM46" s="1252"/>
      <c r="AN46" s="1252"/>
      <c r="AO46" s="1252"/>
      <c r="AP46" s="1252"/>
      <c r="AQ46" s="1252"/>
      <c r="AR46" s="1252"/>
      <c r="AS46" s="1252"/>
      <c r="AT46" s="1252"/>
      <c r="AU46" s="1252"/>
      <c r="AV46" s="1252"/>
      <c r="AW46" s="1252"/>
      <c r="AX46" s="1252"/>
      <c r="AY46" s="1252"/>
      <c r="AZ46" s="1252"/>
      <c r="BA46" s="1252"/>
      <c r="BB46" s="1253"/>
      <c r="BC46"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row>
    <row r="47" spans="1:60" ht="21" customHeight="1">
      <c r="A47" s="759" t="s">
        <v>275</v>
      </c>
      <c r="B47" s="759" t="s">
        <v>276</v>
      </c>
      <c r="C47" s="759"/>
      <c r="D47" s="759"/>
      <c r="E47" s="1266"/>
      <c r="F47" s="1265">
        <v>1</v>
      </c>
      <c r="G47" s="759"/>
      <c r="H47" s="759"/>
      <c r="I47" s="759"/>
      <c r="J47" s="759"/>
      <c r="K47" s="759"/>
      <c r="L47" s="760"/>
      <c r="M47" s="417"/>
      <c r="N47" s="417"/>
      <c r="O47" s="417"/>
      <c r="P47" s="299"/>
      <c r="Q47" s="792"/>
      <c r="R47" s="203"/>
      <c r="S47" s="698" t="str">
        <f>INDEX(PT_DIFFERENTIATION_NUM_TER,MATCH(B47,PT_DIFFERENTIATION_TER_ID,0))</f>
        <v>.</v>
      </c>
      <c r="T47" s="175" t="s">
        <v>396</v>
      </c>
      <c r="U47" s="169"/>
      <c r="V47" s="1252"/>
      <c r="W47" s="1252"/>
      <c r="X47" s="1252"/>
      <c r="Y47" s="1252"/>
      <c r="Z47" s="1252"/>
      <c r="AA47" s="1252"/>
      <c r="AB47" s="1252"/>
      <c r="AC47" s="1253"/>
      <c r="AD47" s="1251" t="str">
        <f>INDEX(PT_DIFFERENTIATION_TER,MATCH(B47,PT_DIFFERENTIATION_TER_ID,0))</f>
        <v/>
      </c>
      <c r="AE47" s="1252"/>
      <c r="AF47" s="1252"/>
      <c r="AG47" s="1252"/>
      <c r="AH47" s="1252"/>
      <c r="AI47" s="1252"/>
      <c r="AJ47" s="1252"/>
      <c r="AK47" s="1252"/>
      <c r="AL47" s="1252"/>
      <c r="AM47" s="1252"/>
      <c r="AN47" s="1252"/>
      <c r="AO47" s="1252"/>
      <c r="AP47" s="1252"/>
      <c r="AQ47" s="1252"/>
      <c r="AR47" s="1252"/>
      <c r="AS47" s="1252"/>
      <c r="AT47" s="1252"/>
      <c r="AU47" s="1252"/>
      <c r="AV47" s="1252"/>
      <c r="AW47" s="1252"/>
      <c r="AX47" s="1252"/>
      <c r="AY47" s="1252"/>
      <c r="AZ47" s="1252"/>
      <c r="BA47" s="1252"/>
      <c r="BB47" s="1253"/>
      <c r="BC47" s="718" t="s">
        <v>397</v>
      </c>
      <c r="BE47" s="69"/>
      <c r="BF47" s="69" t="str">
        <f t="shared" si="3"/>
        <v>Территория действия тарифа</v>
      </c>
      <c r="BG47" s="69"/>
      <c r="BH47" s="69"/>
    </row>
    <row r="48" spans="1:60" ht="33.75" customHeight="1">
      <c r="A48" s="759" t="s">
        <v>275</v>
      </c>
      <c r="B48" s="759" t="s">
        <v>276</v>
      </c>
      <c r="C48" s="759" t="s">
        <v>277</v>
      </c>
      <c r="D48" s="759"/>
      <c r="E48" s="1266"/>
      <c r="F48" s="1266"/>
      <c r="G48" s="1265">
        <v>1</v>
      </c>
      <c r="H48" s="759"/>
      <c r="I48" s="759"/>
      <c r="J48" s="759"/>
      <c r="K48" s="759"/>
      <c r="L48" s="760"/>
      <c r="M48" s="417"/>
      <c r="N48" s="417"/>
      <c r="O48" s="417"/>
      <c r="P48" s="129"/>
      <c r="Q48" s="792"/>
      <c r="R48" s="203"/>
      <c r="S48" s="698" t="str">
        <f>INDEX(PT_DIFFERENTIATION_NUM_CS,MATCH(C48,PT_DIFFERENTIATION_CS_ID,0))</f>
        <v>..</v>
      </c>
      <c r="T48" s="176" t="s">
        <v>515</v>
      </c>
      <c r="U48" s="169"/>
      <c r="V48" s="1252"/>
      <c r="W48" s="1252"/>
      <c r="X48" s="1252"/>
      <c r="Y48" s="1252"/>
      <c r="Z48" s="1252"/>
      <c r="AA48" s="1252"/>
      <c r="AB48" s="1252"/>
      <c r="AC48" s="1253"/>
      <c r="AD48" s="1251" t="str">
        <f>INDEX(PT_DIFFERENTIATION_CS,MATCH(C48,PT_DIFFERENTIATION_CS_ID,0))</f>
        <v/>
      </c>
      <c r="AE48" s="1252"/>
      <c r="AF48" s="1252"/>
      <c r="AG48" s="1252"/>
      <c r="AH48" s="1252"/>
      <c r="AI48" s="1252"/>
      <c r="AJ48" s="1252"/>
      <c r="AK48" s="1252"/>
      <c r="AL48" s="1252"/>
      <c r="AM48" s="1252"/>
      <c r="AN48" s="1252"/>
      <c r="AO48" s="1252"/>
      <c r="AP48" s="1252"/>
      <c r="AQ48" s="1252"/>
      <c r="AR48" s="1252"/>
      <c r="AS48" s="1252"/>
      <c r="AT48" s="1252"/>
      <c r="AU48" s="1252"/>
      <c r="AV48" s="1252"/>
      <c r="AW48" s="1252"/>
      <c r="AX48" s="1252"/>
      <c r="AY48" s="1252"/>
      <c r="AZ48" s="1252"/>
      <c r="BA48" s="1252"/>
      <c r="BB48" s="1253"/>
      <c r="BC48" s="718" t="s">
        <v>516</v>
      </c>
      <c r="BE48" s="69"/>
      <c r="BF48" s="69" t="str">
        <f t="shared" si="3"/>
        <v>Наименование централизованной системы водоотведения</v>
      </c>
      <c r="BG48" s="69"/>
      <c r="BH48" s="69"/>
    </row>
    <row r="49" spans="1:60" s="68" customFormat="1" ht="0" hidden="1" customHeight="1">
      <c r="A49" s="143" t="s">
        <v>275</v>
      </c>
      <c r="B49" s="143" t="s">
        <v>276</v>
      </c>
      <c r="C49" s="143" t="s">
        <v>277</v>
      </c>
      <c r="D49" s="143" t="s">
        <v>528</v>
      </c>
      <c r="E49" s="1266"/>
      <c r="F49" s="1266"/>
      <c r="G49" s="1266"/>
      <c r="H49" s="1265">
        <v>1</v>
      </c>
      <c r="I49" s="143"/>
      <c r="J49" s="143"/>
      <c r="K49" s="143"/>
      <c r="L49" s="338"/>
      <c r="M49" s="291"/>
      <c r="N49" s="291"/>
      <c r="O49" s="291"/>
      <c r="P49" s="810"/>
      <c r="Q49" s="811"/>
      <c r="R49" s="207"/>
      <c r="S49" s="353"/>
      <c r="T49" s="812"/>
      <c r="U49" s="770"/>
      <c r="V49" s="1295"/>
      <c r="W49" s="1295"/>
      <c r="X49" s="1295"/>
      <c r="Y49" s="1295"/>
      <c r="Z49" s="1295"/>
      <c r="AA49" s="1295"/>
      <c r="AB49" s="1295"/>
      <c r="AC49" s="1296"/>
      <c r="AD49" s="1294"/>
      <c r="AE49" s="1295"/>
      <c r="AF49" s="1295"/>
      <c r="AG49" s="1295"/>
      <c r="AH49" s="1295"/>
      <c r="AI49" s="1295"/>
      <c r="AJ49" s="1295"/>
      <c r="AK49" s="1295"/>
      <c r="AL49" s="1295"/>
      <c r="AM49" s="1295"/>
      <c r="AN49" s="1295"/>
      <c r="AO49" s="1295"/>
      <c r="AP49" s="1295"/>
      <c r="AQ49" s="1295"/>
      <c r="AR49" s="1295"/>
      <c r="AS49" s="1295"/>
      <c r="AT49" s="1295"/>
      <c r="AU49" s="1295"/>
      <c r="AV49" s="1295"/>
      <c r="AW49" s="1295"/>
      <c r="AX49" s="1295"/>
      <c r="AY49" s="1295"/>
      <c r="AZ49" s="1295"/>
      <c r="BA49" s="1295"/>
      <c r="BB49" s="1296"/>
      <c r="BC49" s="771" t="s">
        <v>401</v>
      </c>
      <c r="BE49" s="69"/>
      <c r="BF49" s="69" t="str">
        <f t="shared" si="3"/>
        <v/>
      </c>
      <c r="BG49" s="69"/>
      <c r="BH49" s="69"/>
    </row>
    <row r="50" spans="1:60" s="68" customFormat="1" ht="0" hidden="1" customHeight="1">
      <c r="A50" s="143" t="s">
        <v>275</v>
      </c>
      <c r="B50" s="143" t="s">
        <v>276</v>
      </c>
      <c r="C50" s="143" t="s">
        <v>277</v>
      </c>
      <c r="D50" s="143" t="s">
        <v>528</v>
      </c>
      <c r="E50" s="1266"/>
      <c r="F50" s="1266"/>
      <c r="G50" s="1266"/>
      <c r="H50" s="1266"/>
      <c r="I50" s="1263" t="str">
        <f>S49&amp;".1"</f>
        <v>.1</v>
      </c>
      <c r="J50" s="143"/>
      <c r="K50" s="143"/>
      <c r="L50" s="338" t="s">
        <v>402</v>
      </c>
      <c r="M50" s="288"/>
      <c r="N50" s="288"/>
      <c r="O50" s="288"/>
      <c r="P50" s="1264">
        <v>1</v>
      </c>
      <c r="Q50" s="120"/>
      <c r="R50" s="206"/>
      <c r="S50" s="353"/>
      <c r="T50" s="769"/>
      <c r="U50" s="770"/>
      <c r="V50" s="1295"/>
      <c r="W50" s="1295"/>
      <c r="X50" s="1295"/>
      <c r="Y50" s="1295"/>
      <c r="Z50" s="1295"/>
      <c r="AA50" s="1295"/>
      <c r="AB50" s="1295"/>
      <c r="AC50" s="1296"/>
      <c r="AD50" s="1294"/>
      <c r="AE50" s="1295"/>
      <c r="AF50" s="1295"/>
      <c r="AG50" s="1295"/>
      <c r="AH50" s="1295"/>
      <c r="AI50" s="1295"/>
      <c r="AJ50" s="1295"/>
      <c r="AK50" s="1295"/>
      <c r="AL50" s="1295"/>
      <c r="AM50" s="1295"/>
      <c r="AN50" s="1295"/>
      <c r="AO50" s="1295"/>
      <c r="AP50" s="1295"/>
      <c r="AQ50" s="1295"/>
      <c r="AR50" s="1295"/>
      <c r="AS50" s="1295"/>
      <c r="AT50" s="1295"/>
      <c r="AU50" s="1295"/>
      <c r="AV50" s="1295"/>
      <c r="AW50" s="1295"/>
      <c r="AX50" s="1295"/>
      <c r="AY50" s="1295"/>
      <c r="AZ50" s="1295"/>
      <c r="BA50" s="1295"/>
      <c r="BB50" s="1296"/>
      <c r="BC50" s="771"/>
      <c r="BE50" s="69"/>
      <c r="BF50" s="69" t="str">
        <f t="shared" si="3"/>
        <v/>
      </c>
      <c r="BG50" s="69"/>
      <c r="BH50" s="69"/>
    </row>
    <row r="51" spans="1:60" s="68" customFormat="1" ht="0" hidden="1" customHeight="1">
      <c r="A51" s="143" t="s">
        <v>275</v>
      </c>
      <c r="B51" s="143" t="s">
        <v>276</v>
      </c>
      <c r="C51" s="143" t="s">
        <v>277</v>
      </c>
      <c r="D51" s="143" t="s">
        <v>528</v>
      </c>
      <c r="E51" s="1266"/>
      <c r="F51" s="1266"/>
      <c r="G51" s="1266"/>
      <c r="H51" s="1266"/>
      <c r="I51" s="1286"/>
      <c r="J51" s="1263" t="str">
        <f>S49&amp;".1"</f>
        <v>.1</v>
      </c>
      <c r="K51" s="143"/>
      <c r="L51" s="338"/>
      <c r="M51" s="288"/>
      <c r="N51" s="288"/>
      <c r="O51" s="288"/>
      <c r="P51" s="1264"/>
      <c r="Q51" s="1264">
        <v>1</v>
      </c>
      <c r="R51" s="207"/>
      <c r="S51" s="353"/>
      <c r="T51" s="784"/>
      <c r="U51" s="770"/>
      <c r="V51" s="1295"/>
      <c r="W51" s="1295"/>
      <c r="X51" s="1295"/>
      <c r="Y51" s="1295"/>
      <c r="Z51" s="1295"/>
      <c r="AA51" s="1295"/>
      <c r="AB51" s="1295"/>
      <c r="AC51" s="1296"/>
      <c r="AD51" s="1294"/>
      <c r="AE51" s="1295"/>
      <c r="AF51" s="1295"/>
      <c r="AG51" s="1295"/>
      <c r="AH51" s="1295"/>
      <c r="AI51" s="1295"/>
      <c r="AJ51" s="1295"/>
      <c r="AK51" s="1295"/>
      <c r="AL51" s="1295"/>
      <c r="AM51" s="1295"/>
      <c r="AN51" s="1346"/>
      <c r="AO51" s="1346"/>
      <c r="AP51" s="1295"/>
      <c r="AQ51" s="1295"/>
      <c r="AR51" s="1295"/>
      <c r="AS51" s="1295"/>
      <c r="AT51" s="1295"/>
      <c r="AU51" s="1295"/>
      <c r="AV51" s="1295"/>
      <c r="AW51" s="1295"/>
      <c r="AX51" s="1295"/>
      <c r="AY51" s="1295"/>
      <c r="AZ51" s="1295"/>
      <c r="BA51" s="1295"/>
      <c r="BB51" s="1296"/>
      <c r="BC51" s="771"/>
      <c r="BE51" s="69"/>
      <c r="BF51" s="69" t="str">
        <f t="shared" si="3"/>
        <v/>
      </c>
      <c r="BG51" s="69"/>
      <c r="BH51" s="69"/>
    </row>
    <row r="52" spans="1:60" ht="11.25" customHeight="1">
      <c r="A52" s="759" t="s">
        <v>275</v>
      </c>
      <c r="B52" s="759" t="s">
        <v>276</v>
      </c>
      <c r="C52" s="759" t="s">
        <v>277</v>
      </c>
      <c r="D52" s="759" t="s">
        <v>528</v>
      </c>
      <c r="E52" s="1266"/>
      <c r="F52" s="1266"/>
      <c r="G52" s="1266"/>
      <c r="H52" s="1266"/>
      <c r="I52" s="1286"/>
      <c r="J52" s="1286"/>
      <c r="K52" s="1263" t="str">
        <f>S48&amp;".1"</f>
        <v>...1</v>
      </c>
      <c r="L52" s="760"/>
      <c r="P52" s="1264"/>
      <c r="Q52" s="1264"/>
      <c r="R52" s="207">
        <v>1</v>
      </c>
      <c r="S52" s="1322" t="str">
        <f>$K52</f>
        <v>...1</v>
      </c>
      <c r="T52" s="1341"/>
      <c r="U52" s="169"/>
      <c r="V52" s="304"/>
      <c r="W52" s="717"/>
      <c r="X52" s="304"/>
      <c r="Y52" s="717"/>
      <c r="Z52" s="933"/>
      <c r="AA52" s="295" t="s">
        <v>62</v>
      </c>
      <c r="AB52" s="933"/>
      <c r="AC52" s="295" t="s">
        <v>62</v>
      </c>
      <c r="AD52" s="1203" t="s">
        <v>62</v>
      </c>
      <c r="AE52" s="1308"/>
      <c r="AF52" s="1220">
        <v>1</v>
      </c>
      <c r="AG52" s="1345"/>
      <c r="AH52" s="1127" t="s">
        <v>62</v>
      </c>
      <c r="AI52" s="1308"/>
      <c r="AJ52" s="1220">
        <v>1</v>
      </c>
      <c r="AK52" s="1344" t="s">
        <v>18</v>
      </c>
      <c r="AL52" s="1127" t="s">
        <v>62</v>
      </c>
      <c r="AM52" s="1210"/>
      <c r="AN52" s="1220">
        <v>1</v>
      </c>
      <c r="AO52" s="1338"/>
      <c r="AP52" s="1339" t="s">
        <v>62</v>
      </c>
      <c r="AQ52" s="178"/>
      <c r="AR52" s="266">
        <v>1</v>
      </c>
      <c r="AS52" s="117" t="s">
        <v>18</v>
      </c>
      <c r="AT52" s="304"/>
      <c r="AU52" s="717"/>
      <c r="AV52" s="304"/>
      <c r="AW52" s="717"/>
      <c r="AX52" s="933"/>
      <c r="AY52" s="295" t="s">
        <v>62</v>
      </c>
      <c r="AZ52" s="933"/>
      <c r="BA52" s="295" t="s">
        <v>62</v>
      </c>
      <c r="BB52" s="756"/>
      <c r="BC52" s="1260" t="s">
        <v>500</v>
      </c>
      <c r="BE52" s="69"/>
      <c r="BF52" s="69" t="str">
        <f t="shared" si="3"/>
        <v/>
      </c>
      <c r="BG52" s="69"/>
      <c r="BH52" s="69"/>
    </row>
    <row r="53" spans="1:60" ht="11.25" customHeight="1">
      <c r="A53" s="759"/>
      <c r="B53" s="759"/>
      <c r="C53" s="759"/>
      <c r="D53" s="759"/>
      <c r="E53" s="1266"/>
      <c r="F53" s="1266"/>
      <c r="G53" s="1266"/>
      <c r="H53" s="1266"/>
      <c r="I53" s="1286"/>
      <c r="J53" s="1286"/>
      <c r="K53" s="1263"/>
      <c r="L53" s="760"/>
      <c r="P53" s="1264"/>
      <c r="Q53" s="1264"/>
      <c r="R53" s="207"/>
      <c r="S53" s="1323"/>
      <c r="T53" s="1342"/>
      <c r="U53" s="169"/>
      <c r="V53" s="779"/>
      <c r="W53" s="809"/>
      <c r="X53" s="779"/>
      <c r="Y53" s="809"/>
      <c r="Z53" s="779"/>
      <c r="AA53" s="779"/>
      <c r="AB53" s="779"/>
      <c r="AC53" s="779"/>
      <c r="AD53" s="1204"/>
      <c r="AE53" s="1308"/>
      <c r="AF53" s="1220"/>
      <c r="AG53" s="1345"/>
      <c r="AH53" s="1127"/>
      <c r="AI53" s="1308"/>
      <c r="AJ53" s="1220"/>
      <c r="AK53" s="1344"/>
      <c r="AL53" s="1127"/>
      <c r="AM53" s="1215"/>
      <c r="AN53" s="1220"/>
      <c r="AO53" s="1338"/>
      <c r="AP53" s="1340"/>
      <c r="AQ53" s="182"/>
      <c r="AR53" s="53"/>
      <c r="AS53" s="53" t="s">
        <v>501</v>
      </c>
      <c r="AT53" s="779"/>
      <c r="AU53" s="809"/>
      <c r="AV53" s="779"/>
      <c r="AW53" s="809"/>
      <c r="AX53" s="779"/>
      <c r="AY53" s="779"/>
      <c r="AZ53" s="779"/>
      <c r="BA53" s="779"/>
      <c r="BB53" s="783"/>
      <c r="BC53" s="1261"/>
      <c r="BE53" s="69"/>
      <c r="BF53" s="69"/>
      <c r="BG53" s="69"/>
      <c r="BH53" s="69"/>
    </row>
    <row r="54" spans="1:60" ht="11.25" customHeight="1">
      <c r="A54" s="759" t="s">
        <v>275</v>
      </c>
      <c r="B54" s="759"/>
      <c r="C54" s="759"/>
      <c r="D54" s="759"/>
      <c r="E54" s="1266"/>
      <c r="F54" s="1266"/>
      <c r="G54" s="1266"/>
      <c r="H54" s="1266"/>
      <c r="I54" s="1286"/>
      <c r="J54" s="1286"/>
      <c r="K54" s="1263"/>
      <c r="L54" s="760"/>
      <c r="P54" s="1264"/>
      <c r="Q54" s="1264"/>
      <c r="R54" s="207"/>
      <c r="S54" s="1323"/>
      <c r="T54" s="1342"/>
      <c r="U54" s="169"/>
      <c r="V54" s="779"/>
      <c r="W54" s="809"/>
      <c r="X54" s="779"/>
      <c r="Y54" s="809"/>
      <c r="Z54" s="779"/>
      <c r="AA54" s="779"/>
      <c r="AB54" s="779"/>
      <c r="AC54" s="779"/>
      <c r="AD54" s="1204"/>
      <c r="AE54" s="1308"/>
      <c r="AF54" s="1220"/>
      <c r="AG54" s="1345"/>
      <c r="AH54" s="1127"/>
      <c r="AI54" s="1308"/>
      <c r="AJ54" s="1220"/>
      <c r="AK54" s="1344"/>
      <c r="AL54" s="1127"/>
      <c r="AM54" s="182"/>
      <c r="AN54" s="813"/>
      <c r="AO54" s="813" t="s">
        <v>521</v>
      </c>
      <c r="AP54" s="53"/>
      <c r="AQ54" s="53"/>
      <c r="AR54" s="53"/>
      <c r="AS54" s="779"/>
      <c r="AT54" s="779"/>
      <c r="AU54" s="809"/>
      <c r="AV54" s="779"/>
      <c r="AW54" s="809"/>
      <c r="AX54" s="779"/>
      <c r="AY54" s="779"/>
      <c r="AZ54" s="779"/>
      <c r="BA54" s="779"/>
      <c r="BB54" s="783"/>
      <c r="BC54" s="1261"/>
      <c r="BE54" s="69"/>
      <c r="BF54" s="69"/>
      <c r="BG54" s="69"/>
      <c r="BH54" s="69"/>
    </row>
    <row r="55" spans="1:60" ht="11.25" customHeight="1">
      <c r="A55" s="759" t="s">
        <v>275</v>
      </c>
      <c r="B55" s="759"/>
      <c r="C55" s="759"/>
      <c r="D55" s="759"/>
      <c r="E55" s="1266"/>
      <c r="F55" s="1266"/>
      <c r="G55" s="1266"/>
      <c r="H55" s="1266"/>
      <c r="I55" s="1286"/>
      <c r="J55" s="1286"/>
      <c r="K55" s="1263"/>
      <c r="L55" s="760"/>
      <c r="P55" s="1264"/>
      <c r="Q55" s="1264"/>
      <c r="R55" s="207"/>
      <c r="S55" s="1323"/>
      <c r="T55" s="1342"/>
      <c r="U55" s="169"/>
      <c r="V55" s="779"/>
      <c r="W55" s="809"/>
      <c r="X55" s="779"/>
      <c r="Y55" s="809"/>
      <c r="Z55" s="779"/>
      <c r="AA55" s="779"/>
      <c r="AB55" s="779"/>
      <c r="AC55" s="779"/>
      <c r="AD55" s="1204"/>
      <c r="AE55" s="1308"/>
      <c r="AF55" s="1220"/>
      <c r="AG55" s="1345"/>
      <c r="AH55" s="1127"/>
      <c r="AI55" s="167"/>
      <c r="AJ55" s="108"/>
      <c r="AK55" s="180" t="s">
        <v>522</v>
      </c>
      <c r="AL55" s="779"/>
      <c r="AM55" s="779"/>
      <c r="AN55" s="779"/>
      <c r="AO55" s="779"/>
      <c r="AP55" s="779"/>
      <c r="AQ55" s="779"/>
      <c r="AR55" s="779"/>
      <c r="AS55" s="779"/>
      <c r="AT55" s="779"/>
      <c r="AU55" s="809"/>
      <c r="AV55" s="779"/>
      <c r="AW55" s="809"/>
      <c r="AX55" s="779"/>
      <c r="AY55" s="779"/>
      <c r="AZ55" s="779"/>
      <c r="BA55" s="779"/>
      <c r="BB55" s="783"/>
      <c r="BC55" s="1261"/>
      <c r="BE55" s="69"/>
      <c r="BF55" s="69"/>
      <c r="BG55" s="69"/>
      <c r="BH55" s="69"/>
    </row>
    <row r="56" spans="1:60" ht="11.25" customHeight="1">
      <c r="A56" s="759" t="s">
        <v>275</v>
      </c>
      <c r="B56" s="759" t="s">
        <v>276</v>
      </c>
      <c r="C56" s="759" t="s">
        <v>277</v>
      </c>
      <c r="D56" s="759" t="s">
        <v>528</v>
      </c>
      <c r="E56" s="1266"/>
      <c r="F56" s="1266"/>
      <c r="G56" s="1266"/>
      <c r="H56" s="1266"/>
      <c r="I56" s="1286"/>
      <c r="J56" s="1286"/>
      <c r="K56" s="1263"/>
      <c r="L56" s="760"/>
      <c r="P56" s="1264"/>
      <c r="Q56" s="1264"/>
      <c r="R56" s="207"/>
      <c r="S56" s="1324"/>
      <c r="T56" s="1343"/>
      <c r="U56" s="169"/>
      <c r="V56" s="779"/>
      <c r="W56" s="780" t="str">
        <f>Z52&amp;"-"&amp;AB52</f>
        <v>-</v>
      </c>
      <c r="X56" s="779"/>
      <c r="Y56" s="780" t="str">
        <f>AB52&amp;"-"&amp;AD52</f>
        <v>-да</v>
      </c>
      <c r="Z56" s="779"/>
      <c r="AA56" s="779"/>
      <c r="AB56" s="779"/>
      <c r="AC56" s="779"/>
      <c r="AD56" s="1132"/>
      <c r="AE56" s="179"/>
      <c r="AF56" s="181"/>
      <c r="AG56" s="53" t="s">
        <v>504</v>
      </c>
      <c r="AH56" s="779"/>
      <c r="AI56" s="779"/>
      <c r="AJ56" s="779"/>
      <c r="AK56" s="779"/>
      <c r="AL56" s="779"/>
      <c r="AM56" s="779"/>
      <c r="AN56" s="779"/>
      <c r="AO56" s="779"/>
      <c r="AP56" s="779"/>
      <c r="AQ56" s="779"/>
      <c r="AR56" s="779"/>
      <c r="AS56" s="779"/>
      <c r="AT56" s="779"/>
      <c r="AU56" s="780" t="str">
        <f>AX52&amp;"-"&amp;AZ52</f>
        <v>-</v>
      </c>
      <c r="AV56" s="779"/>
      <c r="AW56" s="780" t="str">
        <f>AZ52&amp;"-"&amp;BB52</f>
        <v>-</v>
      </c>
      <c r="AX56" s="779"/>
      <c r="AY56" s="779"/>
      <c r="AZ56" s="779"/>
      <c r="BA56" s="779"/>
      <c r="BB56" s="782" t="str">
        <f>BE52&amp;"-"&amp;BG52</f>
        <v>-</v>
      </c>
      <c r="BC56" s="1261"/>
      <c r="BE56" s="69"/>
      <c r="BF56" s="69" t="str">
        <f t="shared" ref="BF56:BF63" si="4">IF(T56="","",T56)</f>
        <v/>
      </c>
      <c r="BG56" s="69"/>
      <c r="BH56" s="69"/>
    </row>
    <row r="57" spans="1:60" ht="11.25" customHeight="1">
      <c r="A57" s="759" t="s">
        <v>275</v>
      </c>
      <c r="B57" s="759" t="s">
        <v>276</v>
      </c>
      <c r="C57" s="759" t="s">
        <v>277</v>
      </c>
      <c r="D57" s="759" t="s">
        <v>528</v>
      </c>
      <c r="E57" s="1266"/>
      <c r="F57" s="1266"/>
      <c r="G57" s="1266"/>
      <c r="H57" s="1266"/>
      <c r="I57" s="1286"/>
      <c r="J57" s="1263"/>
      <c r="K57" s="759"/>
      <c r="L57" s="760"/>
      <c r="P57" s="1264"/>
      <c r="Q57" s="1264"/>
      <c r="R57" s="206"/>
      <c r="S57" s="732"/>
      <c r="T57" s="164" t="s">
        <v>467</v>
      </c>
      <c r="U57" s="211"/>
      <c r="V57" s="211"/>
      <c r="W57" s="211"/>
      <c r="X57" s="211"/>
      <c r="Y57" s="211"/>
      <c r="Z57" s="211"/>
      <c r="AA57" s="211"/>
      <c r="AB57" s="211"/>
      <c r="AC57" s="188"/>
      <c r="AD57" s="817"/>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188"/>
      <c r="BC57" s="1262"/>
      <c r="BE57" s="69"/>
      <c r="BF57" s="69" t="str">
        <f t="shared" si="4"/>
        <v>Добавить строку</v>
      </c>
      <c r="BG57" s="69"/>
      <c r="BH57" s="69"/>
    </row>
    <row r="58" spans="1:60" s="68" customFormat="1" ht="0" hidden="1" customHeight="1">
      <c r="A58" s="143" t="s">
        <v>275</v>
      </c>
      <c r="B58" s="143" t="s">
        <v>276</v>
      </c>
      <c r="C58" s="143" t="s">
        <v>277</v>
      </c>
      <c r="D58" s="143" t="s">
        <v>528</v>
      </c>
      <c r="E58" s="1266"/>
      <c r="F58" s="1266"/>
      <c r="G58" s="1266"/>
      <c r="H58" s="1266"/>
      <c r="I58" s="1263"/>
      <c r="J58" s="143"/>
      <c r="K58" s="143"/>
      <c r="L58" s="338"/>
      <c r="M58" s="288"/>
      <c r="N58" s="288"/>
      <c r="O58" s="288"/>
      <c r="P58" s="1264"/>
      <c r="Q58" s="120"/>
      <c r="R58" s="206"/>
      <c r="S58" s="772"/>
      <c r="T58" s="773"/>
      <c r="U58" s="774"/>
      <c r="V58" s="774"/>
      <c r="W58" s="774"/>
      <c r="X58" s="774"/>
      <c r="Y58" s="774"/>
      <c r="Z58" s="774"/>
      <c r="AA58" s="774"/>
      <c r="AB58" s="774"/>
      <c r="AC58" s="774"/>
      <c r="AD58" s="774"/>
      <c r="AE58" s="774"/>
      <c r="AF58" s="774"/>
      <c r="AG58" s="774"/>
      <c r="AH58" s="774"/>
      <c r="AI58" s="774"/>
      <c r="AJ58" s="774"/>
      <c r="AK58" s="774"/>
      <c r="AL58" s="774"/>
      <c r="AM58" s="774"/>
      <c r="AN58" s="774"/>
      <c r="AO58" s="774"/>
      <c r="AP58" s="774"/>
      <c r="AQ58" s="774"/>
      <c r="AR58" s="774"/>
      <c r="AS58" s="774"/>
      <c r="AT58" s="774"/>
      <c r="AU58" s="774"/>
      <c r="AV58" s="774"/>
      <c r="AW58" s="774"/>
      <c r="AX58" s="774"/>
      <c r="AY58" s="774"/>
      <c r="AZ58" s="774"/>
      <c r="BA58" s="774"/>
      <c r="BB58" s="774"/>
      <c r="BC58" s="775"/>
      <c r="BE58" s="69"/>
      <c r="BF58" s="69" t="str">
        <f t="shared" si="4"/>
        <v/>
      </c>
      <c r="BG58" s="69"/>
      <c r="BH58" s="69"/>
    </row>
    <row r="59" spans="1:60" s="68" customFormat="1" ht="0" hidden="1" customHeight="1">
      <c r="A59" s="143" t="s">
        <v>275</v>
      </c>
      <c r="B59" s="143" t="s">
        <v>276</v>
      </c>
      <c r="C59" s="143" t="s">
        <v>277</v>
      </c>
      <c r="D59" s="143" t="s">
        <v>528</v>
      </c>
      <c r="E59" s="1266"/>
      <c r="F59" s="1266"/>
      <c r="G59" s="1266"/>
      <c r="H59" s="1265"/>
      <c r="I59" s="143"/>
      <c r="J59" s="143"/>
      <c r="K59" s="143"/>
      <c r="L59" s="338"/>
      <c r="M59" s="291"/>
      <c r="N59" s="291"/>
      <c r="P59" s="102"/>
      <c r="Q59" s="745"/>
      <c r="R59" s="786"/>
      <c r="S59" s="772"/>
      <c r="T59" s="773"/>
      <c r="U59" s="774"/>
      <c r="V59" s="774"/>
      <c r="W59" s="774"/>
      <c r="X59" s="774"/>
      <c r="Y59" s="774"/>
      <c r="Z59" s="774"/>
      <c r="AA59" s="774"/>
      <c r="AB59" s="774"/>
      <c r="AC59" s="774"/>
      <c r="AD59" s="774"/>
      <c r="AE59" s="774"/>
      <c r="AF59" s="774"/>
      <c r="AG59" s="774"/>
      <c r="AH59" s="774"/>
      <c r="AI59" s="774"/>
      <c r="AJ59" s="774"/>
      <c r="AK59" s="774"/>
      <c r="AL59" s="774"/>
      <c r="AM59" s="774"/>
      <c r="AN59" s="774"/>
      <c r="AO59" s="774"/>
      <c r="AP59" s="774"/>
      <c r="AQ59" s="774"/>
      <c r="AR59" s="774"/>
      <c r="AS59" s="774"/>
      <c r="AT59" s="774"/>
      <c r="AU59" s="774"/>
      <c r="AV59" s="774"/>
      <c r="AW59" s="774"/>
      <c r="AX59" s="774"/>
      <c r="AY59" s="774"/>
      <c r="AZ59" s="774"/>
      <c r="BA59" s="774"/>
      <c r="BB59" s="774"/>
      <c r="BC59" s="775"/>
      <c r="BE59" s="69"/>
      <c r="BF59" s="69" t="str">
        <f t="shared" si="4"/>
        <v/>
      </c>
      <c r="BG59" s="69"/>
      <c r="BH59" s="69"/>
    </row>
    <row r="60" spans="1:60" s="68" customFormat="1" ht="0" hidden="1" customHeight="1">
      <c r="A60" s="143" t="s">
        <v>275</v>
      </c>
      <c r="B60" s="143" t="s">
        <v>276</v>
      </c>
      <c r="C60" s="143" t="s">
        <v>277</v>
      </c>
      <c r="D60" s="143"/>
      <c r="E60" s="1266"/>
      <c r="F60" s="1266"/>
      <c r="G60" s="1265"/>
      <c r="H60" s="143"/>
      <c r="I60" s="143"/>
      <c r="J60" s="143"/>
      <c r="K60" s="143"/>
      <c r="L60" s="338"/>
      <c r="M60" s="291"/>
      <c r="N60" s="291"/>
      <c r="P60" s="102"/>
      <c r="Q60" s="745"/>
      <c r="R60" s="102"/>
      <c r="S60" s="750"/>
      <c r="T60" s="752"/>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1"/>
      <c r="AY60" s="311"/>
      <c r="AZ60" s="311"/>
      <c r="BA60" s="311"/>
      <c r="BB60" s="311"/>
      <c r="BC60" s="311"/>
      <c r="BE60" s="69"/>
      <c r="BF60" s="69" t="str">
        <f t="shared" si="4"/>
        <v/>
      </c>
      <c r="BG60" s="69"/>
      <c r="BH60" s="69"/>
    </row>
    <row r="61" spans="1:60" s="68" customFormat="1" ht="0" hidden="1" customHeight="1">
      <c r="A61" s="143" t="s">
        <v>275</v>
      </c>
      <c r="B61" s="143" t="s">
        <v>276</v>
      </c>
      <c r="C61" s="143"/>
      <c r="D61" s="143"/>
      <c r="E61" s="1266"/>
      <c r="F61" s="1265"/>
      <c r="G61" s="143"/>
      <c r="H61" s="143"/>
      <c r="I61" s="143"/>
      <c r="J61" s="143"/>
      <c r="K61" s="143"/>
      <c r="L61" s="338"/>
      <c r="M61" s="749"/>
      <c r="N61" s="749"/>
      <c r="P61" s="102"/>
      <c r="Q61" s="745"/>
      <c r="R61" s="102"/>
      <c r="S61" s="750"/>
      <c r="T61" s="752" t="s">
        <v>414</v>
      </c>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c r="AY61" s="311"/>
      <c r="AZ61" s="311"/>
      <c r="BA61" s="311"/>
      <c r="BB61" s="311"/>
      <c r="BC61" s="311"/>
      <c r="BE61" s="69"/>
      <c r="BF61" s="69" t="str">
        <f t="shared" si="4"/>
        <v>Добавить централизованную систему для дифференциации</v>
      </c>
      <c r="BG61" s="69"/>
      <c r="BH61" s="69"/>
    </row>
    <row r="62" spans="1:60" s="68" customFormat="1" ht="0" hidden="1" customHeight="1">
      <c r="A62" s="143" t="s">
        <v>275</v>
      </c>
      <c r="B62" s="143"/>
      <c r="C62" s="143"/>
      <c r="D62" s="143"/>
      <c r="E62" s="1265"/>
      <c r="F62" s="143"/>
      <c r="G62" s="143"/>
      <c r="H62" s="143"/>
      <c r="I62" s="143"/>
      <c r="J62" s="143"/>
      <c r="K62" s="143"/>
      <c r="L62" s="338"/>
      <c r="M62" s="749"/>
      <c r="N62" s="749"/>
      <c r="P62" s="102"/>
      <c r="Q62" s="745"/>
      <c r="R62" s="102"/>
      <c r="S62" s="750"/>
      <c r="T62" s="752" t="s">
        <v>415</v>
      </c>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A62" s="311"/>
      <c r="BB62" s="311"/>
      <c r="BC62" s="311"/>
      <c r="BE62" s="69"/>
      <c r="BF62" s="69" t="str">
        <f t="shared" si="4"/>
        <v>Добавить территорию для дифференциации</v>
      </c>
      <c r="BG62" s="69"/>
      <c r="BH62" s="69"/>
    </row>
    <row r="63" spans="1:60" s="68" customFormat="1" ht="0" hidden="1" customHeight="1">
      <c r="A63" s="143"/>
      <c r="B63" s="143"/>
      <c r="C63" s="143"/>
      <c r="D63" s="143"/>
      <c r="E63" s="143"/>
      <c r="F63" s="143"/>
      <c r="G63" s="143"/>
      <c r="H63" s="143"/>
      <c r="I63" s="143"/>
      <c r="J63" s="143"/>
      <c r="K63" s="143"/>
      <c r="L63" s="338"/>
      <c r="M63" s="749"/>
      <c r="N63" s="749"/>
      <c r="P63" s="102"/>
      <c r="Q63" s="745"/>
      <c r="R63" s="102"/>
      <c r="S63" s="750"/>
      <c r="T63" s="752" t="s">
        <v>447</v>
      </c>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311"/>
      <c r="BA63" s="311"/>
      <c r="BB63" s="311"/>
      <c r="BC63" s="311"/>
      <c r="BE63" s="69"/>
      <c r="BF63" s="69" t="str">
        <f t="shared" si="4"/>
        <v>Добавить наименование тарифа</v>
      </c>
      <c r="BG63" s="69"/>
      <c r="BH63" s="69"/>
    </row>
    <row r="64" spans="1:60" ht="11.25" customHeight="1">
      <c r="M64" s="63"/>
      <c r="N64" s="63"/>
      <c r="O64" s="63"/>
      <c r="P64" s="63"/>
      <c r="Q64" s="63"/>
      <c r="R64" s="12"/>
      <c r="S64" s="12"/>
      <c r="BD64" s="12"/>
      <c r="BE64" s="12"/>
      <c r="BF64" s="12"/>
      <c r="BG64" s="12"/>
      <c r="BH64" s="12"/>
    </row>
    <row r="65" spans="15:55" ht="14.25" customHeight="1">
      <c r="O65" s="63"/>
      <c r="S65" s="196"/>
      <c r="T65" s="1285"/>
      <c r="U65" s="1285"/>
      <c r="V65" s="1285"/>
      <c r="W65" s="1285"/>
      <c r="X65" s="1285"/>
      <c r="Y65" s="1285"/>
      <c r="Z65" s="1285"/>
      <c r="AA65" s="1285"/>
      <c r="AB65" s="1285"/>
      <c r="AC65" s="1285"/>
      <c r="AD65" s="1285"/>
      <c r="AE65" s="1285"/>
      <c r="AF65" s="1285"/>
      <c r="AG65" s="1285"/>
      <c r="AH65" s="1285"/>
      <c r="AI65" s="1285"/>
      <c r="AJ65" s="1285"/>
      <c r="AK65" s="1285"/>
      <c r="AL65" s="1285"/>
      <c r="AM65" s="1285"/>
      <c r="AN65" s="1285"/>
      <c r="AO65" s="1285"/>
      <c r="AP65" s="1285"/>
      <c r="AQ65" s="1285"/>
      <c r="AR65" s="1285"/>
      <c r="AS65" s="1285"/>
      <c r="AT65" s="1285"/>
      <c r="AU65" s="1285"/>
      <c r="AV65" s="1285"/>
      <c r="AW65" s="1285"/>
      <c r="AX65" s="1285"/>
      <c r="AY65" s="1285"/>
      <c r="AZ65" s="1285"/>
      <c r="BA65" s="1285"/>
      <c r="BB65" s="1285"/>
      <c r="BC65" s="1285"/>
    </row>
    <row r="66" spans="15:55" ht="14.25" customHeight="1">
      <c r="O66" s="63"/>
      <c r="T66" s="364"/>
      <c r="U66" s="364"/>
      <c r="V66" s="364"/>
      <c r="W66" s="364"/>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4"/>
      <c r="AZ66" s="364"/>
      <c r="BA66" s="364"/>
      <c r="BB66" s="364"/>
      <c r="BC66" s="364"/>
    </row>
    <row r="67" spans="15:55" ht="14.25" customHeight="1">
      <c r="O67" s="63"/>
      <c r="S67" s="196"/>
      <c r="T67" s="1285"/>
      <c r="U67" s="1285"/>
      <c r="V67" s="1285"/>
      <c r="W67" s="1285"/>
      <c r="X67" s="1285"/>
      <c r="Y67" s="1285"/>
      <c r="Z67" s="1285"/>
      <c r="AA67" s="1285"/>
      <c r="AB67" s="1285"/>
      <c r="AC67" s="1285"/>
      <c r="AD67" s="1285"/>
      <c r="AE67" s="1285"/>
      <c r="AF67" s="1285"/>
      <c r="AG67" s="1285"/>
      <c r="AH67" s="1285"/>
      <c r="AI67" s="1285"/>
      <c r="AJ67" s="1285"/>
      <c r="AK67" s="1285"/>
      <c r="AL67" s="1285"/>
      <c r="AM67" s="1285"/>
      <c r="AN67" s="1285"/>
      <c r="AO67" s="1285"/>
      <c r="AP67" s="1285"/>
      <c r="AQ67" s="1285"/>
      <c r="AR67" s="1285"/>
      <c r="AS67" s="1285"/>
      <c r="AT67" s="1285"/>
      <c r="AU67" s="1285"/>
      <c r="AV67" s="1285"/>
      <c r="AW67" s="1285"/>
      <c r="AX67" s="1285"/>
      <c r="AY67" s="1285"/>
      <c r="AZ67" s="1285"/>
      <c r="BA67" s="1285"/>
      <c r="BB67" s="1285"/>
      <c r="BC67" s="1285"/>
    </row>
    <row r="68" spans="15:55" ht="14.25" customHeight="1">
      <c r="O68" s="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20E12-0F2F-02F8-59A9-3980DEF1CB18}">
  <sheetPr>
    <tabColor theme="6" tint="0.39997558519241921"/>
  </sheetPr>
  <dimension ref="A1:AX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299" hidden="1" customWidth="1"/>
    <col min="13" max="14" width="12.28515625" style="497" hidden="1" customWidth="1"/>
    <col min="15" max="15" width="23.42578125" style="497" hidden="1" customWidth="1"/>
    <col min="16" max="16" width="3.7109375" style="34" customWidth="1"/>
    <col min="17" max="18" width="3.7109375" style="30" customWidth="1"/>
    <col min="19" max="19" width="12.7109375" style="334" customWidth="1"/>
    <col min="20" max="20" width="35.7109375" style="12" customWidth="1"/>
    <col min="21" max="21" width="0.140625" style="12" customWidth="1"/>
    <col min="22" max="28" width="19.7109375" style="12" hidden="1" customWidth="1"/>
    <col min="29" max="29" width="11.7109375" style="12" hidden="1" customWidth="1"/>
    <col min="30" max="30" width="3.7109375" style="12" hidden="1" customWidth="1"/>
    <col min="31" max="31" width="11.7109375" style="12" hidden="1" customWidth="1"/>
    <col min="32" max="32" width="8.5703125" style="12" hidden="1" customWidth="1"/>
    <col min="33" max="39" width="19.7109375" style="12" customWidth="1"/>
    <col min="40" max="40" width="11.7109375" style="12" customWidth="1"/>
    <col min="41" max="41" width="3.7109375" style="12" customWidth="1"/>
    <col min="42" max="42" width="11.7109375" style="12" customWidth="1"/>
    <col min="43" max="43" width="8.5703125" style="12" hidden="1" customWidth="1"/>
    <col min="44" max="44" width="4.7109375" style="12" customWidth="1"/>
    <col min="45" max="45" width="115.7109375" style="12" customWidth="1"/>
    <col min="46" max="47" width="10.5703125" style="68"/>
    <col min="48" max="48" width="11.140625" style="68" customWidth="1"/>
    <col min="49" max="50" width="10.5703125" style="68"/>
  </cols>
  <sheetData>
    <row r="1" spans="1:50" ht="14.25" hidden="1" customHeight="1"/>
    <row r="2" spans="1:50" ht="23.25" hidden="1" customHeight="1">
      <c r="A2" s="759"/>
      <c r="B2" s="759"/>
      <c r="C2" s="759"/>
      <c r="D2" s="759"/>
      <c r="E2" s="1265">
        <v>1</v>
      </c>
      <c r="F2" s="759"/>
      <c r="G2" s="759"/>
      <c r="H2" s="759"/>
      <c r="I2" s="759"/>
      <c r="J2" s="759"/>
      <c r="K2" s="759"/>
      <c r="L2" s="760"/>
      <c r="M2" s="417"/>
      <c r="N2" s="417"/>
      <c r="O2" s="417"/>
      <c r="Q2" s="35"/>
      <c r="R2" s="205"/>
      <c r="S2" s="698" t="e">
        <f>INDEX(PT_DIFFERENTIATION_NUM_NTAR,MATCH(A2,PT_DIFFERENTIATION_NTAR_ID,0))</f>
        <v>#N/A</v>
      </c>
      <c r="T2" s="67" t="s">
        <v>124</v>
      </c>
      <c r="U2" s="169"/>
      <c r="V2" s="1251"/>
      <c r="W2" s="1252"/>
      <c r="X2" s="1252"/>
      <c r="Y2" s="1252"/>
      <c r="Z2" s="1252"/>
      <c r="AA2" s="1252"/>
      <c r="AB2" s="1252"/>
      <c r="AC2" s="1252"/>
      <c r="AD2" s="1252"/>
      <c r="AE2" s="1252"/>
      <c r="AF2" s="1253"/>
      <c r="AG2" s="1251" t="e">
        <f>INDEX(PT_DIFFERENTIATION_NTAR,MATCH(A2,PT_DIFFERENTIATION_NTAR_ID,0))</f>
        <v>#N/A</v>
      </c>
      <c r="AH2" s="1252"/>
      <c r="AI2" s="1252"/>
      <c r="AJ2" s="1252"/>
      <c r="AK2" s="1252"/>
      <c r="AL2" s="1252"/>
      <c r="AM2" s="1252"/>
      <c r="AN2" s="1252"/>
      <c r="AO2" s="1252"/>
      <c r="AP2" s="1252"/>
      <c r="AQ2" s="1252"/>
      <c r="AR2" s="1253"/>
      <c r="AS2"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row>
    <row r="3" spans="1:50" ht="23.25" hidden="1" customHeight="1">
      <c r="A3" s="759"/>
      <c r="B3" s="759"/>
      <c r="C3" s="759"/>
      <c r="D3" s="759"/>
      <c r="E3" s="1266"/>
      <c r="F3" s="1265">
        <v>1</v>
      </c>
      <c r="G3" s="759"/>
      <c r="H3" s="759"/>
      <c r="I3" s="759"/>
      <c r="J3" s="759"/>
      <c r="K3" s="759"/>
      <c r="L3" s="760"/>
      <c r="M3" s="417"/>
      <c r="N3" s="417"/>
      <c r="O3" s="417"/>
      <c r="P3" s="59"/>
      <c r="Q3" s="202"/>
      <c r="R3" s="203"/>
      <c r="S3" s="698" t="e">
        <f>INDEX(PT_DIFFERENTIATION_NUM_TER,MATCH(B3,PT_DIFFERENTIATION_TER_ID,0))</f>
        <v>#N/A</v>
      </c>
      <c r="T3" s="175" t="s">
        <v>396</v>
      </c>
      <c r="U3" s="169"/>
      <c r="V3" s="1251"/>
      <c r="W3" s="1252"/>
      <c r="X3" s="1252"/>
      <c r="Y3" s="1252"/>
      <c r="Z3" s="1252"/>
      <c r="AA3" s="1252"/>
      <c r="AB3" s="1252"/>
      <c r="AC3" s="1252"/>
      <c r="AD3" s="1252"/>
      <c r="AE3" s="1252"/>
      <c r="AF3" s="1253"/>
      <c r="AG3" s="1251" t="e">
        <f>INDEX(PT_DIFFERENTIATION_TER,MATCH(B3,PT_DIFFERENTIATION_TER_ID,0))</f>
        <v>#N/A</v>
      </c>
      <c r="AH3" s="1252"/>
      <c r="AI3" s="1252"/>
      <c r="AJ3" s="1252"/>
      <c r="AK3" s="1252"/>
      <c r="AL3" s="1252"/>
      <c r="AM3" s="1252"/>
      <c r="AN3" s="1252"/>
      <c r="AO3" s="1252"/>
      <c r="AP3" s="1252"/>
      <c r="AQ3" s="1252"/>
      <c r="AR3" s="1253"/>
      <c r="AS3" s="718" t="s">
        <v>397</v>
      </c>
      <c r="AU3" s="69"/>
      <c r="AV3" s="69" t="str">
        <f t="shared" si="0"/>
        <v>Территория действия тарифа</v>
      </c>
      <c r="AW3" s="69"/>
      <c r="AX3" s="69"/>
    </row>
    <row r="4" spans="1:50" ht="23.25" hidden="1" customHeight="1">
      <c r="A4" s="759"/>
      <c r="B4" s="759"/>
      <c r="C4" s="759"/>
      <c r="D4" s="759"/>
      <c r="E4" s="1266"/>
      <c r="F4" s="1266"/>
      <c r="G4" s="1265">
        <v>1</v>
      </c>
      <c r="H4" s="759"/>
      <c r="I4" s="759"/>
      <c r="J4" s="759"/>
      <c r="K4" s="759"/>
      <c r="L4" s="760"/>
      <c r="M4" s="417"/>
      <c r="N4" s="417"/>
      <c r="O4" s="417"/>
      <c r="P4" s="204"/>
      <c r="Q4" s="202"/>
      <c r="R4" s="203"/>
      <c r="S4" s="698" t="e">
        <f>INDEX(PT_DIFFERENTIATION_NUM_CS,MATCH(C4,PT_DIFFERENTIATION_CS_ID,0))</f>
        <v>#N/A</v>
      </c>
      <c r="T4" s="176" t="s">
        <v>529</v>
      </c>
      <c r="U4" s="169"/>
      <c r="V4" s="1251"/>
      <c r="W4" s="1252"/>
      <c r="X4" s="1252"/>
      <c r="Y4" s="1252"/>
      <c r="Z4" s="1252"/>
      <c r="AA4" s="1252"/>
      <c r="AB4" s="1252"/>
      <c r="AC4" s="1252"/>
      <c r="AD4" s="1252"/>
      <c r="AE4" s="1252"/>
      <c r="AF4" s="1253"/>
      <c r="AG4" s="1251" t="e">
        <f>INDEX(PT_DIFFERENTIATION_CS,MATCH(C4,PT_DIFFERENTIATION_CS_ID,0))</f>
        <v>#N/A</v>
      </c>
      <c r="AH4" s="1252"/>
      <c r="AI4" s="1252"/>
      <c r="AJ4" s="1252"/>
      <c r="AK4" s="1252"/>
      <c r="AL4" s="1252"/>
      <c r="AM4" s="1252"/>
      <c r="AN4" s="1252"/>
      <c r="AO4" s="1252"/>
      <c r="AP4" s="1252"/>
      <c r="AQ4" s="1252"/>
      <c r="AR4" s="1253"/>
      <c r="AS4" s="718" t="s">
        <v>530</v>
      </c>
      <c r="AU4" s="69"/>
      <c r="AV4" s="69" t="str">
        <f t="shared" si="0"/>
        <v>Наименование централизованной системы горячего водоснабжения</v>
      </c>
      <c r="AW4" s="69"/>
      <c r="AX4" s="69"/>
    </row>
    <row r="5" spans="1:50" ht="23.25" hidden="1" customHeight="1">
      <c r="A5" s="759"/>
      <c r="B5" s="759"/>
      <c r="C5" s="759"/>
      <c r="D5" s="759"/>
      <c r="E5" s="1266"/>
      <c r="F5" s="1266"/>
      <c r="G5" s="1266"/>
      <c r="H5" s="1266"/>
      <c r="I5" s="1263" t="e">
        <f>S4&amp;".1"</f>
        <v>#N/A</v>
      </c>
      <c r="J5" s="759"/>
      <c r="K5" s="759"/>
      <c r="L5" s="760"/>
      <c r="P5" s="1264">
        <v>1</v>
      </c>
      <c r="Q5" s="120"/>
      <c r="R5" s="206"/>
      <c r="S5" s="698" t="e">
        <f>$I5</f>
        <v>#N/A</v>
      </c>
      <c r="T5" s="162" t="s">
        <v>482</v>
      </c>
      <c r="U5" s="169"/>
      <c r="V5" s="1331"/>
      <c r="W5" s="1332"/>
      <c r="X5" s="1332"/>
      <c r="Y5" s="1332"/>
      <c r="Z5" s="1332"/>
      <c r="AA5" s="1332"/>
      <c r="AB5" s="1332"/>
      <c r="AC5" s="1332"/>
      <c r="AD5" s="1332"/>
      <c r="AE5" s="1332"/>
      <c r="AF5" s="1333"/>
      <c r="AG5" s="1334"/>
      <c r="AH5" s="1335"/>
      <c r="AI5" s="1335"/>
      <c r="AJ5" s="1335"/>
      <c r="AK5" s="1335"/>
      <c r="AL5" s="1335"/>
      <c r="AM5" s="1335"/>
      <c r="AN5" s="1335"/>
      <c r="AO5" s="1335"/>
      <c r="AP5" s="1335"/>
      <c r="AQ5" s="1335"/>
      <c r="AR5" s="1336"/>
      <c r="AS5" s="718" t="s">
        <v>483</v>
      </c>
      <c r="AU5" s="69"/>
      <c r="AV5" s="69" t="str">
        <f t="shared" si="0"/>
        <v>Наименование признака дифференциации</v>
      </c>
      <c r="AW5" s="69"/>
      <c r="AX5" s="69"/>
    </row>
    <row r="6" spans="1:50" ht="23.25" hidden="1" customHeight="1">
      <c r="A6" s="759"/>
      <c r="B6" s="759"/>
      <c r="C6" s="759"/>
      <c r="D6" s="759"/>
      <c r="E6" s="1266"/>
      <c r="F6" s="1266"/>
      <c r="G6" s="1266"/>
      <c r="H6" s="1266"/>
      <c r="I6" s="1286"/>
      <c r="J6" s="1263" t="e">
        <f>I5&amp;".1"</f>
        <v>#N/A</v>
      </c>
      <c r="K6" s="759"/>
      <c r="L6" s="760" t="s">
        <v>405</v>
      </c>
      <c r="P6" s="1264"/>
      <c r="Q6" s="1264">
        <v>1</v>
      </c>
      <c r="R6" s="207"/>
      <c r="S6" s="698" t="e">
        <f>$J6</f>
        <v>#N/A</v>
      </c>
      <c r="T6" s="163" t="s">
        <v>406</v>
      </c>
      <c r="U6" s="169"/>
      <c r="V6" s="1254"/>
      <c r="W6" s="1255"/>
      <c r="X6" s="1255"/>
      <c r="Y6" s="1255"/>
      <c r="Z6" s="1255"/>
      <c r="AA6" s="1255"/>
      <c r="AB6" s="1255"/>
      <c r="AC6" s="1255"/>
      <c r="AD6" s="1255"/>
      <c r="AE6" s="1255"/>
      <c r="AF6" s="1256"/>
      <c r="AG6" s="1254"/>
      <c r="AH6" s="1255"/>
      <c r="AI6" s="1255"/>
      <c r="AJ6" s="1255"/>
      <c r="AK6" s="1255"/>
      <c r="AL6" s="1255"/>
      <c r="AM6" s="1255"/>
      <c r="AN6" s="1255"/>
      <c r="AO6" s="1255"/>
      <c r="AP6" s="1255"/>
      <c r="AQ6" s="1255"/>
      <c r="AR6" s="1256"/>
      <c r="AS6" s="743" t="s">
        <v>484</v>
      </c>
      <c r="AU6" s="69"/>
      <c r="AV6" s="69" t="str">
        <f t="shared" si="0"/>
        <v>Группа потребителей</v>
      </c>
      <c r="AW6" s="69"/>
      <c r="AX6" s="69"/>
    </row>
    <row r="7" spans="1:50" ht="23.25" hidden="1" customHeight="1">
      <c r="A7" s="759"/>
      <c r="B7" s="759"/>
      <c r="C7" s="759"/>
      <c r="D7" s="759"/>
      <c r="E7" s="1266"/>
      <c r="F7" s="1266"/>
      <c r="G7" s="1266"/>
      <c r="H7" s="1266"/>
      <c r="I7" s="1286"/>
      <c r="J7" s="1286"/>
      <c r="K7" s="1263" t="e">
        <f>J6&amp;".1"</f>
        <v>#N/A</v>
      </c>
      <c r="L7" s="760"/>
      <c r="P7" s="1264"/>
      <c r="Q7" s="1264"/>
      <c r="R7" s="207">
        <v>1</v>
      </c>
      <c r="S7" s="698" t="e">
        <f>$K7</f>
        <v>#N/A</v>
      </c>
      <c r="T7" s="802"/>
      <c r="U7" s="169"/>
      <c r="V7" s="304"/>
      <c r="W7" s="304"/>
      <c r="X7" s="304"/>
      <c r="Y7" s="304"/>
      <c r="Z7" s="304"/>
      <c r="AA7" s="304"/>
      <c r="AB7" s="304"/>
      <c r="AC7" s="1268"/>
      <c r="AD7" s="1127" t="s">
        <v>62</v>
      </c>
      <c r="AE7" s="1268"/>
      <c r="AF7" s="1127" t="s">
        <v>62</v>
      </c>
      <c r="AG7" s="304"/>
      <c r="AH7" s="304"/>
      <c r="AI7" s="304"/>
      <c r="AJ7" s="304"/>
      <c r="AK7" s="304"/>
      <c r="AL7" s="304"/>
      <c r="AM7" s="304"/>
      <c r="AN7" s="1268"/>
      <c r="AO7" s="1127" t="s">
        <v>62</v>
      </c>
      <c r="AP7" s="1287"/>
      <c r="AQ7" s="1127" t="s">
        <v>62</v>
      </c>
      <c r="AR7" s="803"/>
      <c r="AS7" s="1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row>
    <row r="8" spans="1:50" ht="14.25" hidden="1" customHeight="1">
      <c r="A8" s="759"/>
      <c r="B8" s="759"/>
      <c r="C8" s="759"/>
      <c r="D8" s="759"/>
      <c r="E8" s="1266"/>
      <c r="F8" s="1266"/>
      <c r="G8" s="1266"/>
      <c r="H8" s="1266"/>
      <c r="I8" s="1286"/>
      <c r="J8" s="1286"/>
      <c r="K8" s="1263"/>
      <c r="L8" s="760"/>
      <c r="P8" s="1264"/>
      <c r="Q8" s="1264"/>
      <c r="R8" s="207"/>
      <c r="S8" s="65"/>
      <c r="T8" s="169"/>
      <c r="U8" s="169"/>
      <c r="V8" s="189"/>
      <c r="W8" s="189"/>
      <c r="X8" s="189"/>
      <c r="Y8" s="189"/>
      <c r="Z8" s="189"/>
      <c r="AA8" s="189"/>
      <c r="AB8" s="189"/>
      <c r="AC8" s="1269"/>
      <c r="AD8" s="1127"/>
      <c r="AE8" s="1269"/>
      <c r="AF8" s="1127"/>
      <c r="AG8" s="189"/>
      <c r="AH8" s="189"/>
      <c r="AI8" s="189"/>
      <c r="AJ8" s="189"/>
      <c r="AK8" s="189"/>
      <c r="AL8" s="189"/>
      <c r="AM8" s="189"/>
      <c r="AN8" s="1269"/>
      <c r="AO8" s="1127"/>
      <c r="AP8" s="1288"/>
      <c r="AQ8" s="1127"/>
      <c r="AR8" s="379"/>
      <c r="AS8" s="1330"/>
      <c r="AU8" s="69"/>
      <c r="AV8" s="69" t="str">
        <f t="shared" si="0"/>
        <v/>
      </c>
      <c r="AW8" s="69"/>
      <c r="AX8" s="69"/>
    </row>
    <row r="9" spans="1:50" ht="21" hidden="1" customHeight="1">
      <c r="A9" s="759"/>
      <c r="B9" s="759"/>
      <c r="C9" s="759"/>
      <c r="D9" s="759"/>
      <c r="E9" s="1266"/>
      <c r="F9" s="1266"/>
      <c r="G9" s="1266"/>
      <c r="H9" s="1266"/>
      <c r="I9" s="1286"/>
      <c r="J9" s="1263"/>
      <c r="K9" s="759"/>
      <c r="L9" s="760"/>
      <c r="P9" s="1264"/>
      <c r="Q9" s="1264"/>
      <c r="R9" s="206"/>
      <c r="S9" s="732"/>
      <c r="T9" s="164" t="s">
        <v>485</v>
      </c>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718" t="s">
        <v>486</v>
      </c>
      <c r="AU9" s="69"/>
      <c r="AV9" s="69" t="str">
        <f t="shared" si="0"/>
        <v>Добавить значение признака дифференциации</v>
      </c>
      <c r="AW9" s="69"/>
      <c r="AX9" s="69"/>
    </row>
    <row r="10" spans="1:50" ht="21" hidden="1" customHeight="1">
      <c r="A10" s="759"/>
      <c r="B10" s="759"/>
      <c r="C10" s="759"/>
      <c r="D10" s="759"/>
      <c r="E10" s="1266"/>
      <c r="F10" s="1266"/>
      <c r="G10" s="1266"/>
      <c r="H10" s="1266"/>
      <c r="I10" s="1263"/>
      <c r="J10" s="759"/>
      <c r="K10" s="759"/>
      <c r="L10" s="760"/>
      <c r="P10" s="1264"/>
      <c r="Q10" s="120"/>
      <c r="R10" s="206"/>
      <c r="S10" s="732"/>
      <c r="T10" s="209" t="s">
        <v>411</v>
      </c>
      <c r="U10" s="211"/>
      <c r="V10" s="211"/>
      <c r="W10" s="211"/>
      <c r="X10" s="211"/>
      <c r="Y10" s="211"/>
      <c r="Z10" s="211"/>
      <c r="AA10" s="211"/>
      <c r="AB10" s="211"/>
      <c r="AC10" s="211"/>
      <c r="AD10" s="211"/>
      <c r="AE10" s="211"/>
      <c r="AF10" s="210"/>
      <c r="AG10" s="211"/>
      <c r="AH10" s="211"/>
      <c r="AI10" s="211"/>
      <c r="AJ10" s="211"/>
      <c r="AK10" s="211"/>
      <c r="AL10" s="211"/>
      <c r="AM10" s="211"/>
      <c r="AN10" s="211"/>
      <c r="AO10" s="211"/>
      <c r="AP10" s="211"/>
      <c r="AQ10" s="210"/>
      <c r="AR10" s="211"/>
      <c r="AS10" s="804"/>
      <c r="AU10" s="69"/>
      <c r="AV10" s="69" t="str">
        <f t="shared" si="0"/>
        <v>Добавить группу потребителей</v>
      </c>
      <c r="AW10" s="69"/>
      <c r="AX10" s="69"/>
    </row>
    <row r="11" spans="1:50" ht="21" hidden="1" customHeight="1">
      <c r="A11" s="759"/>
      <c r="B11" s="759"/>
      <c r="C11" s="759"/>
      <c r="D11" s="759"/>
      <c r="E11" s="1266"/>
      <c r="F11" s="1266"/>
      <c r="G11" s="1266"/>
      <c r="H11" s="1265"/>
      <c r="I11" s="759"/>
      <c r="J11" s="759"/>
      <c r="K11" s="759"/>
      <c r="L11" s="760"/>
      <c r="M11" s="417"/>
      <c r="N11" s="417"/>
      <c r="O11" s="63"/>
      <c r="P11" s="35"/>
      <c r="Q11" s="214"/>
      <c r="R11" s="205"/>
      <c r="S11" s="732"/>
      <c r="T11" s="105" t="s">
        <v>487</v>
      </c>
      <c r="U11" s="211"/>
      <c r="V11" s="211"/>
      <c r="W11" s="211"/>
      <c r="X11" s="211"/>
      <c r="Y11" s="211"/>
      <c r="Z11" s="211"/>
      <c r="AA11" s="211"/>
      <c r="AB11" s="211"/>
      <c r="AC11" s="211"/>
      <c r="AD11" s="211"/>
      <c r="AE11" s="211"/>
      <c r="AF11" s="210"/>
      <c r="AG11" s="211"/>
      <c r="AH11" s="211"/>
      <c r="AI11" s="211"/>
      <c r="AJ11" s="211"/>
      <c r="AK11" s="211"/>
      <c r="AL11" s="211"/>
      <c r="AM11" s="211"/>
      <c r="AN11" s="211"/>
      <c r="AO11" s="211"/>
      <c r="AP11" s="211"/>
      <c r="AQ11" s="210"/>
      <c r="AR11" s="211"/>
      <c r="AS11" s="172"/>
      <c r="AU11" s="69"/>
      <c r="AV11" s="69" t="str">
        <f t="shared" si="0"/>
        <v>Добавить наименование признака дифференциации</v>
      </c>
      <c r="AW11" s="69"/>
      <c r="AX11" s="69"/>
    </row>
    <row r="12" spans="1:50" s="68" customFormat="1" ht="14.25" hidden="1" customHeight="1">
      <c r="A12" s="143"/>
      <c r="B12" s="143"/>
      <c r="C12" s="143"/>
      <c r="D12" s="143"/>
      <c r="E12" s="1266"/>
      <c r="F12" s="1265"/>
      <c r="G12" s="143"/>
      <c r="H12" s="143"/>
      <c r="I12" s="143"/>
      <c r="J12" s="143"/>
      <c r="K12" s="143"/>
      <c r="L12" s="338"/>
      <c r="M12" s="749"/>
      <c r="N12" s="749"/>
      <c r="P12" s="102"/>
      <c r="Q12" s="745"/>
      <c r="R12" s="102"/>
      <c r="S12" s="750"/>
      <c r="T12" s="752" t="s">
        <v>414</v>
      </c>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311"/>
      <c r="AU12" s="69"/>
      <c r="AV12" s="69" t="str">
        <f t="shared" si="0"/>
        <v>Добавить централизованную систему для дифференциации</v>
      </c>
      <c r="AW12" s="69"/>
      <c r="AX12" s="69"/>
    </row>
    <row r="13" spans="1:50" s="68" customFormat="1" ht="14.25" hidden="1" customHeight="1">
      <c r="A13" s="143"/>
      <c r="B13" s="143"/>
      <c r="C13" s="143"/>
      <c r="D13" s="143"/>
      <c r="E13" s="1265"/>
      <c r="F13" s="143"/>
      <c r="G13" s="143"/>
      <c r="H13" s="143"/>
      <c r="I13" s="143"/>
      <c r="J13" s="143"/>
      <c r="K13" s="143"/>
      <c r="L13" s="338"/>
      <c r="M13" s="749"/>
      <c r="N13" s="749"/>
      <c r="P13" s="102"/>
      <c r="Q13" s="745"/>
      <c r="R13" s="102"/>
      <c r="S13" s="750"/>
      <c r="T13" s="752" t="s">
        <v>415</v>
      </c>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U13" s="69"/>
      <c r="AV13" s="69" t="str">
        <f t="shared" si="0"/>
        <v>Добавить территорию для дифференциации</v>
      </c>
      <c r="AW13" s="69"/>
      <c r="AX13" s="69"/>
    </row>
    <row r="14" spans="1:50" ht="14.25" hidden="1" customHeight="1"/>
    <row r="15" spans="1:50" ht="14.25" hidden="1" customHeight="1">
      <c r="AG15" s="359"/>
      <c r="AH15" s="359"/>
      <c r="AI15" s="359"/>
      <c r="AJ15" s="359"/>
      <c r="AK15" s="359"/>
      <c r="AL15" s="359"/>
      <c r="AM15" s="359"/>
      <c r="AN15" s="1270"/>
      <c r="AO15" s="1271" t="s">
        <v>62</v>
      </c>
      <c r="AP15" s="1270"/>
      <c r="AQ15" s="1271" t="s">
        <v>62</v>
      </c>
    </row>
    <row r="16" spans="1:50" ht="14.25" hidden="1" customHeight="1">
      <c r="AG16" s="359"/>
      <c r="AH16" s="359"/>
      <c r="AI16" s="359"/>
      <c r="AJ16" s="359"/>
      <c r="AK16" s="359"/>
      <c r="AL16" s="359"/>
      <c r="AM16" s="359"/>
      <c r="AN16" s="1271"/>
      <c r="AO16" s="1271"/>
      <c r="AP16" s="1271"/>
      <c r="AQ16" s="1271"/>
    </row>
    <row r="17" spans="1:50" ht="14.25" hidden="1" customHeight="1"/>
    <row r="18" spans="1:50" s="63" customFormat="1" ht="22.5" hidden="1" customHeight="1">
      <c r="L18" s="299"/>
      <c r="M18" s="497"/>
      <c r="N18" s="497"/>
      <c r="O18" s="761" t="s">
        <v>416</v>
      </c>
      <c r="P18" s="497"/>
      <c r="Q18" s="762"/>
      <c r="R18" s="762"/>
      <c r="S18" s="417"/>
      <c r="AC18" s="761"/>
      <c r="AE18" s="761"/>
      <c r="AN18" s="761"/>
      <c r="AP18" s="761"/>
      <c r="AT18" s="68"/>
      <c r="AU18" s="68"/>
      <c r="AV18" s="68"/>
      <c r="AW18" s="68"/>
      <c r="AX18" s="68"/>
    </row>
    <row r="19" spans="1:50" s="63" customFormat="1" ht="14.25" hidden="1" customHeight="1">
      <c r="L19" s="299"/>
      <c r="M19" s="497"/>
      <c r="N19" s="497"/>
      <c r="O19" s="497"/>
      <c r="P19" s="497"/>
      <c r="Q19" s="762"/>
      <c r="R19" s="762"/>
      <c r="S19" s="417"/>
      <c r="AT19" s="68"/>
      <c r="AU19" s="68"/>
      <c r="AV19" s="68"/>
      <c r="AW19" s="68"/>
      <c r="AX19" s="68"/>
    </row>
    <row r="20" spans="1:50" s="63" customFormat="1" ht="12" hidden="1" customHeight="1">
      <c r="L20" s="299"/>
      <c r="M20" s="497"/>
      <c r="N20" s="497"/>
      <c r="O20" s="760" t="s">
        <v>417</v>
      </c>
      <c r="P20" s="497"/>
      <c r="Q20" s="805"/>
      <c r="R20" s="805"/>
      <c r="S20" s="417"/>
      <c r="T20" s="63" t="s">
        <v>418</v>
      </c>
      <c r="AD20" s="81" t="s">
        <v>419</v>
      </c>
      <c r="AF20" s="81" t="s">
        <v>420</v>
      </c>
      <c r="AG20" s="63" t="s">
        <v>418</v>
      </c>
      <c r="AO20" s="81" t="s">
        <v>421</v>
      </c>
      <c r="AQ20" s="81" t="s">
        <v>420</v>
      </c>
    </row>
    <row r="21" spans="1:50" ht="14.25" hidden="1" customHeight="1">
      <c r="O21" s="760"/>
    </row>
    <row r="22" spans="1:50" ht="14.25" hidden="1" customHeight="1">
      <c r="O22" s="760"/>
    </row>
    <row r="23" spans="1:50" ht="14.25" customHeight="1">
      <c r="Q23" s="29"/>
      <c r="R23" s="29"/>
      <c r="S23" s="729"/>
      <c r="T23" s="11"/>
      <c r="U23" s="11"/>
    </row>
    <row r="24" spans="1:50" ht="24.75" customHeight="1">
      <c r="Q24" s="29"/>
      <c r="R24" s="29"/>
      <c r="S24" s="1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49"/>
      <c r="U24" s="1249"/>
      <c r="V24" s="1249"/>
      <c r="W24" s="1249"/>
      <c r="X24" s="1249"/>
      <c r="Y24" s="1249"/>
      <c r="Z24" s="1249"/>
      <c r="AA24" s="1249"/>
      <c r="AB24" s="1249"/>
      <c r="AC24" s="1249"/>
      <c r="AD24" s="1249"/>
      <c r="AE24" s="1249"/>
      <c r="AF24" s="1249"/>
      <c r="AG24" s="1249"/>
      <c r="AH24" s="1249"/>
      <c r="AI24" s="1249"/>
      <c r="AJ24" s="1249"/>
      <c r="AK24" s="1249"/>
      <c r="AL24" s="1249"/>
      <c r="AM24" s="1249"/>
      <c r="AN24" s="1249"/>
      <c r="AO24" s="1249"/>
      <c r="AP24" s="1249"/>
      <c r="AQ24" s="60"/>
    </row>
    <row r="25" spans="1:50" ht="14.25" customHeight="1">
      <c r="Q25" s="29"/>
      <c r="R25" s="29"/>
      <c r="S25" s="1194" t="str">
        <f>IF(org=0,"Не определено",org)</f>
        <v>АО "ХТК"</v>
      </c>
      <c r="T25" s="1194"/>
      <c r="U25" s="1194"/>
      <c r="V25" s="1194"/>
      <c r="W25" s="1194"/>
      <c r="X25" s="1194"/>
      <c r="Y25" s="1194"/>
      <c r="Z25" s="1194"/>
      <c r="AA25" s="1194"/>
      <c r="AB25" s="1194"/>
      <c r="AC25" s="1194"/>
      <c r="AD25" s="1194"/>
      <c r="AE25" s="1194"/>
      <c r="AF25" s="1194"/>
      <c r="AG25" s="1194"/>
      <c r="AH25" s="1194"/>
      <c r="AI25" s="1194"/>
      <c r="AJ25" s="1194"/>
      <c r="AK25" s="1194"/>
      <c r="AL25" s="1194"/>
      <c r="AM25" s="1194"/>
      <c r="AN25" s="1194"/>
      <c r="AO25" s="1194"/>
      <c r="AP25" s="1194"/>
      <c r="AQ25" s="60"/>
    </row>
    <row r="26" spans="1:50" ht="14.25" hidden="1" customHeight="1">
      <c r="Q26" s="29"/>
      <c r="R26" s="29"/>
      <c r="S26" s="729"/>
      <c r="T26" s="11"/>
      <c r="U26" s="11"/>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row>
    <row r="27" spans="1:50" s="36" customFormat="1" ht="25.5" hidden="1" customHeight="1">
      <c r="A27" s="81"/>
      <c r="B27" s="81"/>
      <c r="C27" s="81"/>
      <c r="D27" s="81"/>
      <c r="E27" s="81"/>
      <c r="F27" s="81"/>
      <c r="G27" s="81"/>
      <c r="H27" s="81"/>
      <c r="I27" s="81"/>
      <c r="J27" s="81"/>
      <c r="K27" s="81"/>
      <c r="L27" s="760"/>
      <c r="M27" s="81"/>
      <c r="N27" s="81"/>
      <c r="O27" s="81"/>
      <c r="S27" s="1257" t="s">
        <v>37</v>
      </c>
      <c r="T27" s="1257"/>
      <c r="U27" s="763"/>
      <c r="V27" s="1258" t="str">
        <f>IF(TITLE_NAME_OR_PR_CHANGE="",IF(TITLE_NAME_OR_PR="","",TITLE_NAME_OR_PR),TITLE_NAME_OR_PR_CHANGE)</f>
        <v/>
      </c>
      <c r="W27" s="1258"/>
      <c r="X27" s="1258"/>
      <c r="Y27" s="1258"/>
      <c r="Z27" s="1258"/>
      <c r="AA27" s="1258"/>
      <c r="AB27" s="1258"/>
      <c r="AC27" s="1258"/>
      <c r="AD27" s="1258"/>
      <c r="AE27" s="1258"/>
      <c r="AF27" s="12"/>
      <c r="AG27" s="1258" t="str">
        <f>IF(TITLE_NAME_OR_PR_CHANGE="",IF(TITLE_NAME_OR_PR="","",TITLE_NAME_OR_PR),TITLE_NAME_OR_PR_CHANGE)</f>
        <v/>
      </c>
      <c r="AH27" s="1258"/>
      <c r="AI27" s="1258"/>
      <c r="AJ27" s="1258"/>
      <c r="AK27" s="1258"/>
      <c r="AL27" s="1258"/>
      <c r="AM27" s="1258"/>
      <c r="AN27" s="1258"/>
      <c r="AO27" s="1258"/>
      <c r="AP27" s="1258"/>
      <c r="AQ27" s="12"/>
      <c r="AR27" s="12"/>
      <c r="AS27" s="161"/>
      <c r="AT27" s="69"/>
      <c r="AU27" s="69"/>
      <c r="AV27" s="69"/>
      <c r="AW27" s="69"/>
      <c r="AX27" s="69"/>
    </row>
    <row r="28" spans="1:50" s="36" customFormat="1" ht="18.75" hidden="1" customHeight="1">
      <c r="A28" s="81"/>
      <c r="B28" s="81"/>
      <c r="C28" s="81"/>
      <c r="D28" s="81"/>
      <c r="E28" s="81"/>
      <c r="F28" s="81"/>
      <c r="G28" s="81"/>
      <c r="H28" s="81"/>
      <c r="I28" s="81"/>
      <c r="J28" s="81"/>
      <c r="K28" s="81"/>
      <c r="L28" s="760"/>
      <c r="M28" s="81"/>
      <c r="N28" s="81"/>
      <c r="O28" s="81"/>
      <c r="S28" s="1257" t="s">
        <v>422</v>
      </c>
      <c r="T28" s="1257"/>
      <c r="U28" s="763"/>
      <c r="V28" s="1267" t="str">
        <f>IF(TITLE_DATE_PR_CHANGE="",IF(TITLE_DATE_PR="","",TITLE_DATE_PR),TITLE_DATE_PR_CHANGE)</f>
        <v/>
      </c>
      <c r="W28" s="1267"/>
      <c r="X28" s="1267"/>
      <c r="Y28" s="1267"/>
      <c r="Z28" s="1267"/>
      <c r="AA28" s="1267"/>
      <c r="AB28" s="1267"/>
      <c r="AC28" s="1267"/>
      <c r="AD28" s="1267"/>
      <c r="AE28" s="1267"/>
      <c r="AF28" s="12"/>
      <c r="AG28" s="1267" t="str">
        <f>IF(TITLE_DATE_PR_CHANGE="",IF(TITLE_DATE_PR="","",TITLE_DATE_PR),TITLE_DATE_PR_CHANGE)</f>
        <v/>
      </c>
      <c r="AH28" s="1267"/>
      <c r="AI28" s="1267"/>
      <c r="AJ28" s="1267"/>
      <c r="AK28" s="1267"/>
      <c r="AL28" s="1267"/>
      <c r="AM28" s="1267"/>
      <c r="AN28" s="1267"/>
      <c r="AO28" s="1267"/>
      <c r="AP28" s="1267"/>
      <c r="AQ28" s="12"/>
      <c r="AR28" s="12"/>
      <c r="AS28" s="161"/>
      <c r="AT28" s="69"/>
      <c r="AU28" s="69"/>
      <c r="AV28" s="69"/>
      <c r="AW28" s="69"/>
      <c r="AX28" s="69"/>
    </row>
    <row r="29" spans="1:50" s="36" customFormat="1" ht="18.75" hidden="1" customHeight="1">
      <c r="A29" s="81"/>
      <c r="B29" s="81"/>
      <c r="C29" s="81"/>
      <c r="D29" s="81"/>
      <c r="E29" s="81"/>
      <c r="F29" s="81"/>
      <c r="G29" s="81"/>
      <c r="H29" s="81"/>
      <c r="I29" s="81"/>
      <c r="J29" s="81"/>
      <c r="K29" s="81"/>
      <c r="L29" s="760"/>
      <c r="M29" s="81"/>
      <c r="N29" s="81"/>
      <c r="O29" s="81"/>
      <c r="S29" s="1257" t="s">
        <v>423</v>
      </c>
      <c r="T29" s="1257"/>
      <c r="U29" s="763"/>
      <c r="V29" s="1258" t="str">
        <f>IF(TITLE_NUMBER_PR_CHANGE="",IF(TITLE_NUMBER_PR="","",TITLE_NUMBER_PR),TITLE_NUMBER_PR_CHANGE)</f>
        <v/>
      </c>
      <c r="W29" s="1258"/>
      <c r="X29" s="1258"/>
      <c r="Y29" s="1258"/>
      <c r="Z29" s="1258"/>
      <c r="AA29" s="1258"/>
      <c r="AB29" s="1258"/>
      <c r="AC29" s="1258"/>
      <c r="AD29" s="1258"/>
      <c r="AE29" s="1258"/>
      <c r="AF29" s="12"/>
      <c r="AG29" s="1258" t="str">
        <f>IF(TITLE_NUMBER_PR_CHANGE="",IF(TITLE_NUMBER_PR="","",TITLE_NUMBER_PR),TITLE_NUMBER_PR_CHANGE)</f>
        <v/>
      </c>
      <c r="AH29" s="1258"/>
      <c r="AI29" s="1258"/>
      <c r="AJ29" s="1258"/>
      <c r="AK29" s="1258"/>
      <c r="AL29" s="1258"/>
      <c r="AM29" s="1258"/>
      <c r="AN29" s="1258"/>
      <c r="AO29" s="1258"/>
      <c r="AP29" s="1258"/>
      <c r="AQ29" s="12"/>
      <c r="AR29" s="12"/>
      <c r="AS29" s="161"/>
      <c r="AT29" s="69"/>
      <c r="AU29" s="69"/>
      <c r="AV29" s="69"/>
      <c r="AW29" s="69"/>
      <c r="AX29" s="69"/>
    </row>
    <row r="30" spans="1:50" s="36" customFormat="1" ht="18.75" hidden="1" customHeight="1">
      <c r="A30" s="81"/>
      <c r="B30" s="81"/>
      <c r="C30" s="81"/>
      <c r="D30" s="81"/>
      <c r="E30" s="81"/>
      <c r="F30" s="81"/>
      <c r="G30" s="81"/>
      <c r="H30" s="81"/>
      <c r="I30" s="81"/>
      <c r="J30" s="81"/>
      <c r="K30" s="81"/>
      <c r="L30" s="760"/>
      <c r="M30" s="81"/>
      <c r="N30" s="81"/>
      <c r="O30" s="81"/>
      <c r="S30" s="1257" t="s">
        <v>38</v>
      </c>
      <c r="T30" s="1257"/>
      <c r="U30" s="763"/>
      <c r="V30" s="1258" t="str">
        <f>IF(TITLE_IST_PUB_CHANGE="",IF(TITLE_IST_PUB="","",TITLE_IST_PUB),TITLE_IST_PUB_CHANGE)</f>
        <v/>
      </c>
      <c r="W30" s="1258"/>
      <c r="X30" s="1258"/>
      <c r="Y30" s="1258"/>
      <c r="Z30" s="1258"/>
      <c r="AA30" s="1258"/>
      <c r="AB30" s="1258"/>
      <c r="AC30" s="1258"/>
      <c r="AD30" s="1258"/>
      <c r="AE30" s="1258"/>
      <c r="AF30" s="12"/>
      <c r="AG30" s="1258" t="str">
        <f>IF(TITLE_IST_PUB_CHANGE="",IF(TITLE_IST_PUB="","",TITLE_IST_PUB),TITLE_IST_PUB_CHANGE)</f>
        <v/>
      </c>
      <c r="AH30" s="1258"/>
      <c r="AI30" s="1258"/>
      <c r="AJ30" s="1258"/>
      <c r="AK30" s="1258"/>
      <c r="AL30" s="1258"/>
      <c r="AM30" s="1258"/>
      <c r="AN30" s="1258"/>
      <c r="AO30" s="1258"/>
      <c r="AP30" s="1258"/>
      <c r="AQ30" s="12"/>
      <c r="AR30" s="12"/>
      <c r="AS30" s="161"/>
      <c r="AT30" s="69"/>
      <c r="AU30" s="69"/>
      <c r="AV30" s="69"/>
      <c r="AW30" s="69"/>
      <c r="AX30" s="69"/>
    </row>
    <row r="31" spans="1:50" ht="14.25" hidden="1" customHeight="1">
      <c r="Q31" s="29"/>
      <c r="R31" s="29"/>
      <c r="S31" s="729"/>
      <c r="T31" s="11"/>
      <c r="U31" s="11"/>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row>
    <row r="32" spans="1:50" s="36" customFormat="1" ht="18.75" hidden="1" customHeight="1">
      <c r="A32" s="81"/>
      <c r="B32" s="81"/>
      <c r="C32" s="81"/>
      <c r="D32" s="81"/>
      <c r="E32" s="81"/>
      <c r="F32" s="81"/>
      <c r="G32" s="81"/>
      <c r="H32" s="81"/>
      <c r="I32" s="81"/>
      <c r="J32" s="81"/>
      <c r="K32" s="81"/>
      <c r="L32" s="760"/>
      <c r="M32" s="81"/>
      <c r="N32" s="81"/>
      <c r="O32" s="81"/>
      <c r="S32" s="1257" t="s">
        <v>424</v>
      </c>
      <c r="T32" s="1257"/>
      <c r="U32" s="763"/>
      <c r="V32" s="1267" t="str">
        <f>IF(TITLE_DATE_PR_CHANGE="",IF(TITLE_DATE_PR="","",TITLE_DATE_PR),TITLE_DATE_PR_CHANGE)</f>
        <v/>
      </c>
      <c r="W32" s="1267"/>
      <c r="X32" s="1267"/>
      <c r="Y32" s="1267"/>
      <c r="Z32" s="1267"/>
      <c r="AA32" s="1267"/>
      <c r="AB32" s="1267"/>
      <c r="AC32" s="1267"/>
      <c r="AD32" s="1267"/>
      <c r="AE32" s="1267"/>
      <c r="AF32" s="12"/>
      <c r="AG32" s="1267" t="str">
        <f>IF(TITLE_DATE_PR_CHANGE="",IF(TITLE_DATE_PR="","",TITLE_DATE_PR),TITLE_DATE_PR_CHANGE)</f>
        <v/>
      </c>
      <c r="AH32" s="1267"/>
      <c r="AI32" s="1267"/>
      <c r="AJ32" s="1267"/>
      <c r="AK32" s="1267"/>
      <c r="AL32" s="1267"/>
      <c r="AM32" s="1267"/>
      <c r="AN32" s="1267"/>
      <c r="AO32" s="1267"/>
      <c r="AP32" s="1267"/>
      <c r="AQ32" s="12"/>
      <c r="AR32" s="12"/>
      <c r="AS32" s="161"/>
      <c r="AT32" s="69"/>
      <c r="AU32" s="69"/>
      <c r="AV32" s="69"/>
      <c r="AW32" s="69"/>
      <c r="AX32" s="69"/>
    </row>
    <row r="33" spans="1:50" s="36" customFormat="1" ht="18.75" hidden="1" customHeight="1">
      <c r="A33" s="81"/>
      <c r="B33" s="81"/>
      <c r="C33" s="81"/>
      <c r="D33" s="81"/>
      <c r="E33" s="81"/>
      <c r="F33" s="81"/>
      <c r="G33" s="81"/>
      <c r="H33" s="81"/>
      <c r="I33" s="81"/>
      <c r="J33" s="81"/>
      <c r="K33" s="81"/>
      <c r="L33" s="760"/>
      <c r="M33" s="81"/>
      <c r="N33" s="81"/>
      <c r="O33" s="81"/>
      <c r="S33" s="1257" t="s">
        <v>425</v>
      </c>
      <c r="T33" s="1257"/>
      <c r="U33" s="763"/>
      <c r="V33" s="1258" t="str">
        <f>IF(TITLE_NUMBER_PR_CHANGE="",IF(TITLE_NUMBER_PR="","",TITLE_NUMBER_PR),TITLE_NUMBER_PR_CHANGE)</f>
        <v/>
      </c>
      <c r="W33" s="1258"/>
      <c r="X33" s="1258"/>
      <c r="Y33" s="1258"/>
      <c r="Z33" s="1258"/>
      <c r="AA33" s="1258"/>
      <c r="AB33" s="1258"/>
      <c r="AC33" s="1258"/>
      <c r="AD33" s="1258"/>
      <c r="AE33" s="1258"/>
      <c r="AF33" s="12"/>
      <c r="AG33" s="1258" t="str">
        <f>IF(TITLE_NUMBER_PR_CHANGE="",IF(TITLE_NUMBER_PR="","",TITLE_NUMBER_PR),TITLE_NUMBER_PR_CHANGE)</f>
        <v/>
      </c>
      <c r="AH33" s="1258"/>
      <c r="AI33" s="1258"/>
      <c r="AJ33" s="1258"/>
      <c r="AK33" s="1258"/>
      <c r="AL33" s="1258"/>
      <c r="AM33" s="1258"/>
      <c r="AN33" s="1258"/>
      <c r="AO33" s="1258"/>
      <c r="AP33" s="1258"/>
      <c r="AQ33" s="12"/>
      <c r="AR33" s="12"/>
      <c r="AS33" s="161"/>
      <c r="AT33" s="69"/>
      <c r="AU33" s="69"/>
      <c r="AV33" s="69"/>
      <c r="AW33" s="69"/>
      <c r="AX33" s="69"/>
    </row>
    <row r="34" spans="1:50" s="36" customFormat="1" ht="0.75" customHeight="1">
      <c r="A34" s="81"/>
      <c r="B34" s="81"/>
      <c r="C34" s="81"/>
      <c r="D34" s="81"/>
      <c r="E34" s="81"/>
      <c r="F34" s="81"/>
      <c r="G34" s="81"/>
      <c r="H34" s="81"/>
      <c r="I34" s="81"/>
      <c r="J34" s="81"/>
      <c r="K34" s="81"/>
      <c r="L34" s="760"/>
      <c r="M34" s="81"/>
      <c r="N34" s="81"/>
      <c r="O34" s="81"/>
      <c r="S34" s="12"/>
      <c r="T34" s="12"/>
      <c r="U34" s="77"/>
      <c r="V34" s="12"/>
      <c r="W34" s="12"/>
      <c r="X34" s="12"/>
      <c r="Y34" s="12"/>
      <c r="Z34" s="12"/>
      <c r="AA34" s="12"/>
      <c r="AB34" s="12"/>
      <c r="AC34" s="12"/>
      <c r="AD34" s="12"/>
      <c r="AE34" s="12"/>
      <c r="AF34" s="68" t="s">
        <v>426</v>
      </c>
      <c r="AG34" s="12"/>
      <c r="AH34" s="12"/>
      <c r="AI34" s="12"/>
      <c r="AJ34" s="12"/>
      <c r="AK34" s="12"/>
      <c r="AL34" s="12"/>
      <c r="AM34" s="12"/>
      <c r="AN34" s="12"/>
      <c r="AO34" s="12"/>
      <c r="AP34" s="12"/>
      <c r="AQ34" s="68" t="s">
        <v>426</v>
      </c>
      <c r="AT34" s="69"/>
      <c r="AU34" s="69"/>
      <c r="AV34" s="69"/>
      <c r="AW34" s="69"/>
      <c r="AX34" s="69"/>
    </row>
    <row r="35" spans="1:50" ht="14.25" customHeight="1">
      <c r="Q35" s="29"/>
      <c r="R35" s="29"/>
      <c r="S35" s="729"/>
      <c r="T35" s="11"/>
      <c r="U35" s="709"/>
      <c r="V35" s="1259"/>
      <c r="W35" s="1259"/>
      <c r="X35" s="1259"/>
      <c r="Y35" s="1259"/>
      <c r="Z35" s="1259"/>
      <c r="AA35" s="1259"/>
      <c r="AB35" s="1259"/>
      <c r="AC35" s="1259"/>
      <c r="AD35" s="1259"/>
      <c r="AE35" s="1259"/>
      <c r="AF35" s="1259"/>
      <c r="AG35" s="1259"/>
      <c r="AH35" s="1259"/>
      <c r="AI35" s="1259"/>
      <c r="AJ35" s="1259"/>
      <c r="AK35" s="1259"/>
      <c r="AL35" s="1259"/>
      <c r="AM35" s="1259"/>
      <c r="AN35" s="1259"/>
      <c r="AO35" s="1259"/>
      <c r="AP35" s="1259"/>
      <c r="AQ35" s="1259"/>
    </row>
    <row r="36" spans="1:50" ht="14.25" customHeight="1">
      <c r="Q36" s="29"/>
      <c r="R36" s="29"/>
      <c r="S36" s="1146" t="s">
        <v>299</v>
      </c>
      <c r="T36" s="1146"/>
      <c r="U36" s="1146"/>
      <c r="V36" s="1146"/>
      <c r="W36" s="1146"/>
      <c r="X36" s="1146"/>
      <c r="Y36" s="1146"/>
      <c r="Z36" s="1146"/>
      <c r="AA36" s="1146"/>
      <c r="AB36" s="1146"/>
      <c r="AC36" s="1146"/>
      <c r="AD36" s="1146"/>
      <c r="AE36" s="1146"/>
      <c r="AF36" s="1146"/>
      <c r="AG36" s="1146"/>
      <c r="AH36" s="1146"/>
      <c r="AI36" s="1146"/>
      <c r="AJ36" s="1146"/>
      <c r="AK36" s="1146"/>
      <c r="AL36" s="1146"/>
      <c r="AM36" s="1146"/>
      <c r="AN36" s="1146"/>
      <c r="AO36" s="1146"/>
      <c r="AP36" s="1146"/>
      <c r="AQ36" s="1146"/>
      <c r="AR36" s="1146"/>
      <c r="AS36" s="1146" t="s">
        <v>300</v>
      </c>
    </row>
    <row r="37" spans="1:50" ht="14.25" customHeight="1">
      <c r="Q37" s="29"/>
      <c r="R37" s="29"/>
      <c r="S37" s="1273" t="s">
        <v>84</v>
      </c>
      <c r="T37" s="1224" t="s">
        <v>427</v>
      </c>
      <c r="U37" s="170"/>
      <c r="V37" s="1274" t="s">
        <v>428</v>
      </c>
      <c r="W37" s="1291"/>
      <c r="X37" s="1291"/>
      <c r="Y37" s="1291"/>
      <c r="Z37" s="1291"/>
      <c r="AA37" s="1291"/>
      <c r="AB37" s="1291"/>
      <c r="AC37" s="1275"/>
      <c r="AD37" s="1275"/>
      <c r="AE37" s="1276"/>
      <c r="AF37" s="1277" t="s">
        <v>429</v>
      </c>
      <c r="AG37" s="1274" t="s">
        <v>428</v>
      </c>
      <c r="AH37" s="1275"/>
      <c r="AI37" s="1275"/>
      <c r="AJ37" s="1275"/>
      <c r="AK37" s="1275"/>
      <c r="AL37" s="1275"/>
      <c r="AM37" s="1275"/>
      <c r="AN37" s="1275"/>
      <c r="AO37" s="1275"/>
      <c r="AP37" s="1276"/>
      <c r="AQ37" s="1277" t="s">
        <v>430</v>
      </c>
      <c r="AR37" s="1280" t="s">
        <v>431</v>
      </c>
      <c r="AS37" s="1146"/>
    </row>
    <row r="38" spans="1:50" ht="18.75" customHeight="1">
      <c r="Q38" s="29"/>
      <c r="R38" s="29"/>
      <c r="S38" s="1273"/>
      <c r="T38" s="1224"/>
      <c r="U38" s="595"/>
      <c r="V38" s="1146" t="s">
        <v>531</v>
      </c>
      <c r="W38" s="1220" t="s">
        <v>532</v>
      </c>
      <c r="X38" s="1220"/>
      <c r="Y38" s="1220"/>
      <c r="Z38" s="1220" t="s">
        <v>533</v>
      </c>
      <c r="AA38" s="1220"/>
      <c r="AB38" s="1220"/>
      <c r="AC38" s="1210" t="s">
        <v>435</v>
      </c>
      <c r="AD38" s="1305"/>
      <c r="AE38" s="1211"/>
      <c r="AF38" s="1278"/>
      <c r="AG38" s="1146" t="s">
        <v>531</v>
      </c>
      <c r="AH38" s="1220" t="s">
        <v>532</v>
      </c>
      <c r="AI38" s="1220"/>
      <c r="AJ38" s="1220"/>
      <c r="AK38" s="1220" t="s">
        <v>533</v>
      </c>
      <c r="AL38" s="1220"/>
      <c r="AM38" s="1220"/>
      <c r="AN38" s="1210" t="s">
        <v>435</v>
      </c>
      <c r="AO38" s="1305"/>
      <c r="AP38" s="1211"/>
      <c r="AQ38" s="1278"/>
      <c r="AR38" s="1281"/>
      <c r="AS38" s="1146"/>
    </row>
    <row r="39" spans="1:50" s="12" customFormat="1" ht="18.75" customHeight="1">
      <c r="A39" s="63"/>
      <c r="B39" s="63"/>
      <c r="C39" s="63"/>
      <c r="D39" s="63"/>
      <c r="E39" s="63"/>
      <c r="F39" s="63"/>
      <c r="G39" s="63"/>
      <c r="H39" s="63"/>
      <c r="I39" s="63"/>
      <c r="J39" s="63"/>
      <c r="K39" s="63"/>
      <c r="L39" s="299"/>
      <c r="M39" s="497"/>
      <c r="N39" s="497"/>
      <c r="O39" s="497"/>
      <c r="P39" s="34"/>
      <c r="Q39" s="29"/>
      <c r="R39" s="29"/>
      <c r="S39" s="1273"/>
      <c r="T39" s="1224"/>
      <c r="U39" s="595"/>
      <c r="V39" s="1146"/>
      <c r="W39" s="1220" t="s">
        <v>534</v>
      </c>
      <c r="X39" s="1220" t="s">
        <v>535</v>
      </c>
      <c r="Y39" s="1220"/>
      <c r="Z39" s="1220" t="s">
        <v>536</v>
      </c>
      <c r="AA39" s="1220" t="s">
        <v>535</v>
      </c>
      <c r="AB39" s="1220"/>
      <c r="AC39" s="1215"/>
      <c r="AD39" s="1306"/>
      <c r="AE39" s="1216"/>
      <c r="AF39" s="1278"/>
      <c r="AG39" s="1146"/>
      <c r="AH39" s="1220" t="s">
        <v>534</v>
      </c>
      <c r="AI39" s="1220" t="s">
        <v>535</v>
      </c>
      <c r="AJ39" s="1220"/>
      <c r="AK39" s="1220" t="s">
        <v>536</v>
      </c>
      <c r="AL39" s="1220" t="s">
        <v>535</v>
      </c>
      <c r="AM39" s="1220"/>
      <c r="AN39" s="1215"/>
      <c r="AO39" s="1306"/>
      <c r="AP39" s="1216"/>
      <c r="AQ39" s="1278"/>
      <c r="AR39" s="1281"/>
      <c r="AS39" s="1146"/>
      <c r="AT39" s="68"/>
      <c r="AU39" s="68"/>
      <c r="AV39" s="68"/>
      <c r="AW39" s="68"/>
      <c r="AX39" s="68"/>
    </row>
    <row r="40" spans="1:50" ht="59.25" customHeight="1">
      <c r="A40" s="81"/>
      <c r="B40" s="81" t="s">
        <v>136</v>
      </c>
      <c r="C40" s="81" t="s">
        <v>137</v>
      </c>
      <c r="D40" s="81" t="s">
        <v>138</v>
      </c>
      <c r="E40" s="760" t="s">
        <v>436</v>
      </c>
      <c r="F40" s="760" t="s">
        <v>437</v>
      </c>
      <c r="G40" s="760" t="s">
        <v>438</v>
      </c>
      <c r="H40" s="760"/>
      <c r="I40" s="760" t="s">
        <v>489</v>
      </c>
      <c r="J40" s="760" t="s">
        <v>441</v>
      </c>
      <c r="K40" s="760" t="s">
        <v>490</v>
      </c>
      <c r="L40" s="760" t="s">
        <v>417</v>
      </c>
      <c r="Q40" s="29"/>
      <c r="R40" s="29"/>
      <c r="S40" s="1273"/>
      <c r="T40" s="1224"/>
      <c r="U40" s="171"/>
      <c r="V40" s="1146"/>
      <c r="W40" s="1220"/>
      <c r="X40" s="266" t="s">
        <v>537</v>
      </c>
      <c r="Y40" s="266" t="s">
        <v>538</v>
      </c>
      <c r="Z40" s="1220"/>
      <c r="AA40" s="266" t="s">
        <v>539</v>
      </c>
      <c r="AB40" s="266" t="s">
        <v>540</v>
      </c>
      <c r="AC40" s="40" t="s">
        <v>445</v>
      </c>
      <c r="AD40" s="1233" t="s">
        <v>446</v>
      </c>
      <c r="AE40" s="1235"/>
      <c r="AF40" s="1279"/>
      <c r="AG40" s="1146"/>
      <c r="AH40" s="1220"/>
      <c r="AI40" s="266" t="s">
        <v>537</v>
      </c>
      <c r="AJ40" s="266" t="s">
        <v>538</v>
      </c>
      <c r="AK40" s="1220"/>
      <c r="AL40" s="266" t="s">
        <v>539</v>
      </c>
      <c r="AM40" s="266" t="s">
        <v>540</v>
      </c>
      <c r="AN40" s="40" t="s">
        <v>445</v>
      </c>
      <c r="AO40" s="1233" t="s">
        <v>446</v>
      </c>
      <c r="AP40" s="1235"/>
      <c r="AQ40" s="1279"/>
      <c r="AR40" s="1282"/>
      <c r="AS40" s="1146"/>
    </row>
    <row r="41" spans="1:50" s="201" customFormat="1" ht="11.25" hidden="1" customHeight="1">
      <c r="A41" s="81"/>
      <c r="B41" s="81"/>
      <c r="C41" s="81"/>
      <c r="D41" s="81"/>
      <c r="E41" s="81"/>
      <c r="F41" s="81"/>
      <c r="G41" s="81"/>
      <c r="H41" s="81"/>
      <c r="I41" s="81"/>
      <c r="J41" s="81"/>
      <c r="K41" s="81"/>
      <c r="L41" s="760"/>
      <c r="M41" s="497"/>
      <c r="N41" s="497"/>
      <c r="O41" s="497"/>
      <c r="P41" s="711"/>
      <c r="Q41" s="712"/>
      <c r="R41" s="714">
        <v>1</v>
      </c>
      <c r="S41" s="731" t="s">
        <v>105</v>
      </c>
      <c r="T41" s="715" t="s">
        <v>106</v>
      </c>
      <c r="U41" s="710" t="str">
        <f ca="1">OFFSET(U41,0,-1)</f>
        <v>2</v>
      </c>
      <c r="V41" s="716">
        <f ca="1">OFFSET(V41,0,-1)+1</f>
        <v>3</v>
      </c>
      <c r="W41" s="284"/>
      <c r="X41" s="284"/>
      <c r="Y41" s="284"/>
      <c r="Z41" s="284"/>
      <c r="AA41" s="284"/>
      <c r="AB41" s="284"/>
      <c r="AC41" s="716">
        <f ca="1">OFFSET(AC41,0,-1)+1</f>
        <v>1</v>
      </c>
      <c r="AD41" s="1272">
        <f ca="1">OFFSET(AD41,0,-1)+1</f>
        <v>2</v>
      </c>
      <c r="AE41" s="1272"/>
      <c r="AF41" s="716">
        <f ca="1">OFFSET(AF41,0,-2)+1</f>
        <v>3</v>
      </c>
      <c r="AG41" s="716">
        <f ca="1">OFFSET(AG41,0,-1)+1</f>
        <v>4</v>
      </c>
      <c r="AH41" s="716"/>
      <c r="AI41" s="716"/>
      <c r="AJ41" s="716"/>
      <c r="AK41" s="716"/>
      <c r="AL41" s="716"/>
      <c r="AM41" s="716">
        <f ca="1">OFFSET(AM41,0,-1)+1</f>
        <v>1</v>
      </c>
      <c r="AN41" s="716">
        <f ca="1">OFFSET(AN41,0,-1)+1</f>
        <v>2</v>
      </c>
      <c r="AO41" s="1272">
        <f ca="1">OFFSET(AO41,0,-1)+1</f>
        <v>3</v>
      </c>
      <c r="AP41" s="1272"/>
      <c r="AQ41" s="716">
        <f ca="1">OFFSET(AQ41,0,-2)+1</f>
        <v>4</v>
      </c>
      <c r="AR41" s="710">
        <f ca="1">OFFSET(AR41,0,-1)</f>
        <v>4</v>
      </c>
      <c r="AS41" s="716">
        <f ca="1">OFFSET(AS41,0,-1)+1</f>
        <v>5</v>
      </c>
      <c r="AT41" s="68"/>
      <c r="AU41" s="68"/>
      <c r="AV41" s="68"/>
      <c r="AW41" s="68"/>
      <c r="AX41" s="68"/>
    </row>
    <row r="42" spans="1:50" ht="23.25" customHeight="1">
      <c r="A42" s="759" t="s">
        <v>250</v>
      </c>
      <c r="B42" s="759"/>
      <c r="C42" s="759"/>
      <c r="D42" s="759"/>
      <c r="E42" s="1265">
        <v>1</v>
      </c>
      <c r="F42" s="759"/>
      <c r="G42" s="759"/>
      <c r="H42" s="759"/>
      <c r="I42" s="759"/>
      <c r="J42" s="759"/>
      <c r="K42" s="759"/>
      <c r="L42" s="760"/>
      <c r="M42" s="417"/>
      <c r="N42" s="417"/>
      <c r="O42" s="417"/>
      <c r="Q42" s="35"/>
      <c r="R42" s="205"/>
      <c r="S42" s="698">
        <f>INDEX(PT_DIFFERENTIATION_NUM_NTAR,MATCH(A42,PT_DIFFERENTIATION_NTAR_ID,0))</f>
        <v>0</v>
      </c>
      <c r="T42" s="67" t="s">
        <v>124</v>
      </c>
      <c r="U42" s="169"/>
      <c r="V42" s="1251"/>
      <c r="W42" s="1252"/>
      <c r="X42" s="1252"/>
      <c r="Y42" s="1252"/>
      <c r="Z42" s="1252"/>
      <c r="AA42" s="1252"/>
      <c r="AB42" s="1252"/>
      <c r="AC42" s="1252"/>
      <c r="AD42" s="1252"/>
      <c r="AE42" s="1252"/>
      <c r="AF42" s="1253"/>
      <c r="AG42" s="1251" t="str">
        <f>INDEX(PT_DIFFERENTIATION_NTAR,MATCH(A42,PT_DIFFERENTIATION_NTAR_ID,0))</f>
        <v/>
      </c>
      <c r="AH42" s="1252"/>
      <c r="AI42" s="1252"/>
      <c r="AJ42" s="1252"/>
      <c r="AK42" s="1252"/>
      <c r="AL42" s="1252"/>
      <c r="AM42" s="1252"/>
      <c r="AN42" s="1252"/>
      <c r="AO42" s="1252"/>
      <c r="AP42" s="1252"/>
      <c r="AQ42" s="1252"/>
      <c r="AR42" s="1253"/>
      <c r="AS42"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row>
    <row r="43" spans="1:50" ht="23.25" customHeight="1">
      <c r="A43" s="759" t="s">
        <v>250</v>
      </c>
      <c r="B43" s="759" t="s">
        <v>251</v>
      </c>
      <c r="C43" s="759"/>
      <c r="D43" s="759"/>
      <c r="E43" s="1266"/>
      <c r="F43" s="1265">
        <v>1</v>
      </c>
      <c r="G43" s="759"/>
      <c r="H43" s="759"/>
      <c r="I43" s="759"/>
      <c r="J43" s="759"/>
      <c r="K43" s="759"/>
      <c r="L43" s="760"/>
      <c r="M43" s="417"/>
      <c r="N43" s="417"/>
      <c r="O43" s="417"/>
      <c r="P43" s="59"/>
      <c r="Q43" s="202"/>
      <c r="R43" s="203"/>
      <c r="S43" s="698" t="str">
        <f>INDEX(PT_DIFFERENTIATION_NUM_TER,MATCH(B43,PT_DIFFERENTIATION_TER_ID,0))</f>
        <v>.</v>
      </c>
      <c r="T43" s="175" t="s">
        <v>396</v>
      </c>
      <c r="U43" s="169"/>
      <c r="V43" s="1251"/>
      <c r="W43" s="1252"/>
      <c r="X43" s="1252"/>
      <c r="Y43" s="1252"/>
      <c r="Z43" s="1252"/>
      <c r="AA43" s="1252"/>
      <c r="AB43" s="1252"/>
      <c r="AC43" s="1252"/>
      <c r="AD43" s="1252"/>
      <c r="AE43" s="1252"/>
      <c r="AF43" s="1253"/>
      <c r="AG43" s="1251" t="str">
        <f>INDEX(PT_DIFFERENTIATION_TER,MATCH(B43,PT_DIFFERENTIATION_TER_ID,0))</f>
        <v/>
      </c>
      <c r="AH43" s="1252"/>
      <c r="AI43" s="1252"/>
      <c r="AJ43" s="1252"/>
      <c r="AK43" s="1252"/>
      <c r="AL43" s="1252"/>
      <c r="AM43" s="1252"/>
      <c r="AN43" s="1252"/>
      <c r="AO43" s="1252"/>
      <c r="AP43" s="1252"/>
      <c r="AQ43" s="1252"/>
      <c r="AR43" s="1253"/>
      <c r="AS43" s="718" t="s">
        <v>397</v>
      </c>
      <c r="AU43" s="69"/>
      <c r="AV43" s="69" t="str">
        <f t="shared" si="1"/>
        <v>Территория действия тарифа</v>
      </c>
      <c r="AW43" s="69"/>
      <c r="AX43" s="69"/>
    </row>
    <row r="44" spans="1:50" ht="23.25" customHeight="1">
      <c r="A44" s="759" t="s">
        <v>250</v>
      </c>
      <c r="B44" s="759" t="s">
        <v>251</v>
      </c>
      <c r="C44" s="759" t="s">
        <v>252</v>
      </c>
      <c r="D44" s="759"/>
      <c r="E44" s="1266"/>
      <c r="F44" s="1266"/>
      <c r="G44" s="1265">
        <v>1</v>
      </c>
      <c r="H44" s="759"/>
      <c r="I44" s="759"/>
      <c r="J44" s="759"/>
      <c r="K44" s="759"/>
      <c r="L44" s="760"/>
      <c r="M44" s="417"/>
      <c r="N44" s="417"/>
      <c r="O44" s="417"/>
      <c r="P44" s="204"/>
      <c r="Q44" s="202"/>
      <c r="R44" s="203"/>
      <c r="S44" s="698" t="str">
        <f>INDEX(PT_DIFFERENTIATION_NUM_CS,MATCH(C44,PT_DIFFERENTIATION_CS_ID,0))</f>
        <v>..</v>
      </c>
      <c r="T44" s="176" t="s">
        <v>529</v>
      </c>
      <c r="U44" s="169"/>
      <c r="V44" s="1251"/>
      <c r="W44" s="1252"/>
      <c r="X44" s="1252"/>
      <c r="Y44" s="1252"/>
      <c r="Z44" s="1252"/>
      <c r="AA44" s="1252"/>
      <c r="AB44" s="1252"/>
      <c r="AC44" s="1252"/>
      <c r="AD44" s="1252"/>
      <c r="AE44" s="1252"/>
      <c r="AF44" s="1253"/>
      <c r="AG44" s="1251" t="str">
        <f>INDEX(PT_DIFFERENTIATION_CS,MATCH(C44,PT_DIFFERENTIATION_CS_ID,0))</f>
        <v/>
      </c>
      <c r="AH44" s="1252"/>
      <c r="AI44" s="1252"/>
      <c r="AJ44" s="1252"/>
      <c r="AK44" s="1252"/>
      <c r="AL44" s="1252"/>
      <c r="AM44" s="1252"/>
      <c r="AN44" s="1252"/>
      <c r="AO44" s="1252"/>
      <c r="AP44" s="1252"/>
      <c r="AQ44" s="1252"/>
      <c r="AR44" s="1253"/>
      <c r="AS44" s="718" t="s">
        <v>530</v>
      </c>
      <c r="AU44" s="69"/>
      <c r="AV44" s="69" t="str">
        <f t="shared" si="1"/>
        <v>Наименование централизованной системы горячего водоснабжения</v>
      </c>
      <c r="AW44" s="69"/>
      <c r="AX44" s="69"/>
    </row>
    <row r="45" spans="1:50" ht="23.25" customHeight="1">
      <c r="A45" s="759" t="s">
        <v>250</v>
      </c>
      <c r="B45" s="759" t="s">
        <v>251</v>
      </c>
      <c r="C45" s="759" t="s">
        <v>252</v>
      </c>
      <c r="D45" s="759" t="s">
        <v>541</v>
      </c>
      <c r="E45" s="1266"/>
      <c r="F45" s="1266"/>
      <c r="G45" s="1266"/>
      <c r="H45" s="1266"/>
      <c r="I45" s="1263" t="str">
        <f>S44&amp;".1"</f>
        <v>...1</v>
      </c>
      <c r="J45" s="759"/>
      <c r="K45" s="759"/>
      <c r="L45" s="760"/>
      <c r="P45" s="1264">
        <v>1</v>
      </c>
      <c r="Q45" s="120"/>
      <c r="R45" s="206"/>
      <c r="S45" s="698" t="str">
        <f>$I45</f>
        <v>...1</v>
      </c>
      <c r="T45" s="162" t="s">
        <v>482</v>
      </c>
      <c r="U45" s="169"/>
      <c r="V45" s="1331"/>
      <c r="W45" s="1332"/>
      <c r="X45" s="1332"/>
      <c r="Y45" s="1332"/>
      <c r="Z45" s="1332"/>
      <c r="AA45" s="1332"/>
      <c r="AB45" s="1332"/>
      <c r="AC45" s="1332"/>
      <c r="AD45" s="1332"/>
      <c r="AE45" s="1332"/>
      <c r="AF45" s="1333"/>
      <c r="AG45" s="1334"/>
      <c r="AH45" s="1335"/>
      <c r="AI45" s="1335"/>
      <c r="AJ45" s="1335"/>
      <c r="AK45" s="1335"/>
      <c r="AL45" s="1335"/>
      <c r="AM45" s="1335"/>
      <c r="AN45" s="1335"/>
      <c r="AO45" s="1335"/>
      <c r="AP45" s="1335"/>
      <c r="AQ45" s="1335"/>
      <c r="AR45" s="1336"/>
      <c r="AS45" s="718" t="s">
        <v>483</v>
      </c>
      <c r="AU45" s="69"/>
      <c r="AV45" s="69" t="str">
        <f t="shared" si="1"/>
        <v>Наименование признака дифференциации</v>
      </c>
      <c r="AW45" s="69"/>
      <c r="AX45" s="69"/>
    </row>
    <row r="46" spans="1:50" ht="23.25" customHeight="1">
      <c r="A46" s="759" t="s">
        <v>250</v>
      </c>
      <c r="B46" s="759" t="s">
        <v>251</v>
      </c>
      <c r="C46" s="759" t="s">
        <v>252</v>
      </c>
      <c r="D46" s="759" t="s">
        <v>541</v>
      </c>
      <c r="E46" s="1266"/>
      <c r="F46" s="1266"/>
      <c r="G46" s="1266"/>
      <c r="H46" s="1266"/>
      <c r="I46" s="1286"/>
      <c r="J46" s="1263" t="str">
        <f>I45&amp;".1"</f>
        <v>...1.1</v>
      </c>
      <c r="K46" s="759"/>
      <c r="L46" s="760" t="s">
        <v>405</v>
      </c>
      <c r="P46" s="1264"/>
      <c r="Q46" s="1264">
        <v>1</v>
      </c>
      <c r="R46" s="207"/>
      <c r="S46" s="698" t="str">
        <f>$J46</f>
        <v>...1.1</v>
      </c>
      <c r="T46" s="163" t="s">
        <v>406</v>
      </c>
      <c r="U46" s="169"/>
      <c r="V46" s="1254"/>
      <c r="W46" s="1255"/>
      <c r="X46" s="1255"/>
      <c r="Y46" s="1255"/>
      <c r="Z46" s="1255"/>
      <c r="AA46" s="1255"/>
      <c r="AB46" s="1255"/>
      <c r="AC46" s="1255"/>
      <c r="AD46" s="1255"/>
      <c r="AE46" s="1255"/>
      <c r="AF46" s="1256"/>
      <c r="AG46" s="1254"/>
      <c r="AH46" s="1255"/>
      <c r="AI46" s="1255"/>
      <c r="AJ46" s="1255"/>
      <c r="AK46" s="1255"/>
      <c r="AL46" s="1255"/>
      <c r="AM46" s="1255"/>
      <c r="AN46" s="1255"/>
      <c r="AO46" s="1255"/>
      <c r="AP46" s="1255"/>
      <c r="AQ46" s="1255"/>
      <c r="AR46" s="1256"/>
      <c r="AS46" s="743" t="s">
        <v>484</v>
      </c>
      <c r="AU46" s="69"/>
      <c r="AV46" s="69" t="str">
        <f t="shared" si="1"/>
        <v>Группа потребителей</v>
      </c>
      <c r="AW46" s="69"/>
      <c r="AX46" s="69"/>
    </row>
    <row r="47" spans="1:50" ht="23.25" customHeight="1">
      <c r="A47" s="759" t="s">
        <v>250</v>
      </c>
      <c r="B47" s="759" t="s">
        <v>251</v>
      </c>
      <c r="C47" s="759" t="s">
        <v>252</v>
      </c>
      <c r="D47" s="759" t="s">
        <v>541</v>
      </c>
      <c r="E47" s="1266"/>
      <c r="F47" s="1266"/>
      <c r="G47" s="1266"/>
      <c r="H47" s="1266"/>
      <c r="I47" s="1286"/>
      <c r="J47" s="1286"/>
      <c r="K47" s="1263" t="str">
        <f>J46&amp;".1"</f>
        <v>...1.1.1</v>
      </c>
      <c r="L47" s="760"/>
      <c r="P47" s="1264"/>
      <c r="Q47" s="1264"/>
      <c r="R47" s="207">
        <v>1</v>
      </c>
      <c r="S47" s="698" t="str">
        <f>$K47</f>
        <v>...1.1.1</v>
      </c>
      <c r="T47" s="802"/>
      <c r="U47" s="169"/>
      <c r="V47" s="304"/>
      <c r="W47" s="304"/>
      <c r="X47" s="304"/>
      <c r="Y47" s="304"/>
      <c r="Z47" s="304"/>
      <c r="AA47" s="304"/>
      <c r="AB47" s="304"/>
      <c r="AC47" s="1270"/>
      <c r="AD47" s="1271" t="s">
        <v>62</v>
      </c>
      <c r="AE47" s="1270"/>
      <c r="AF47" s="1271" t="s">
        <v>62</v>
      </c>
      <c r="AG47" s="304"/>
      <c r="AH47" s="304"/>
      <c r="AI47" s="304"/>
      <c r="AJ47" s="304"/>
      <c r="AK47" s="304"/>
      <c r="AL47" s="304"/>
      <c r="AM47" s="304"/>
      <c r="AN47" s="1268"/>
      <c r="AO47" s="1127" t="s">
        <v>62</v>
      </c>
      <c r="AP47" s="1287"/>
      <c r="AQ47" s="1127" t="s">
        <v>52</v>
      </c>
      <c r="AR47" s="803"/>
      <c r="AS47" s="1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row>
    <row r="48" spans="1:50" ht="0" hidden="1" customHeight="1">
      <c r="A48" s="759" t="s">
        <v>250</v>
      </c>
      <c r="B48" s="759" t="s">
        <v>251</v>
      </c>
      <c r="C48" s="759" t="s">
        <v>252</v>
      </c>
      <c r="D48" s="759" t="s">
        <v>541</v>
      </c>
      <c r="E48" s="1266"/>
      <c r="F48" s="1266"/>
      <c r="G48" s="1266"/>
      <c r="H48" s="1266"/>
      <c r="I48" s="1286"/>
      <c r="J48" s="1286"/>
      <c r="K48" s="1263"/>
      <c r="L48" s="760"/>
      <c r="P48" s="1264"/>
      <c r="Q48" s="1264"/>
      <c r="R48" s="207"/>
      <c r="S48" s="65"/>
      <c r="T48" s="169"/>
      <c r="U48" s="169"/>
      <c r="V48" s="359"/>
      <c r="W48" s="359"/>
      <c r="X48" s="359"/>
      <c r="Y48" s="359"/>
      <c r="Z48" s="359"/>
      <c r="AA48" s="359"/>
      <c r="AB48" s="359"/>
      <c r="AC48" s="1271"/>
      <c r="AD48" s="1271"/>
      <c r="AE48" s="1271"/>
      <c r="AF48" s="1271"/>
      <c r="AG48" s="189"/>
      <c r="AH48" s="189"/>
      <c r="AI48" s="189"/>
      <c r="AJ48" s="189"/>
      <c r="AK48" s="189"/>
      <c r="AL48" s="189"/>
      <c r="AM48" s="189"/>
      <c r="AN48" s="1269"/>
      <c r="AO48" s="1127"/>
      <c r="AP48" s="1288"/>
      <c r="AQ48" s="1127"/>
      <c r="AR48" s="379"/>
      <c r="AS48" s="1330"/>
      <c r="AU48" s="69"/>
      <c r="AV48" s="69" t="str">
        <f t="shared" si="1"/>
        <v/>
      </c>
      <c r="AW48" s="69"/>
      <c r="AX48" s="69"/>
    </row>
    <row r="49" spans="1:50" ht="21" customHeight="1">
      <c r="A49" s="759" t="s">
        <v>250</v>
      </c>
      <c r="B49" s="759" t="s">
        <v>251</v>
      </c>
      <c r="C49" s="759" t="s">
        <v>252</v>
      </c>
      <c r="D49" s="759" t="s">
        <v>541</v>
      </c>
      <c r="E49" s="1266"/>
      <c r="F49" s="1266"/>
      <c r="G49" s="1266"/>
      <c r="H49" s="1266"/>
      <c r="I49" s="1286"/>
      <c r="J49" s="1263"/>
      <c r="K49" s="759"/>
      <c r="L49" s="760"/>
      <c r="P49" s="1264"/>
      <c r="Q49" s="1264"/>
      <c r="R49" s="206"/>
      <c r="S49" s="732"/>
      <c r="T49" s="164" t="s">
        <v>485</v>
      </c>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718" t="s">
        <v>486</v>
      </c>
      <c r="AU49" s="69"/>
      <c r="AV49" s="69" t="str">
        <f t="shared" si="1"/>
        <v>Добавить значение признака дифференциации</v>
      </c>
      <c r="AW49" s="69"/>
      <c r="AX49" s="69"/>
    </row>
    <row r="50" spans="1:50" ht="21" customHeight="1">
      <c r="A50" s="759" t="s">
        <v>250</v>
      </c>
      <c r="B50" s="759" t="s">
        <v>251</v>
      </c>
      <c r="C50" s="759" t="s">
        <v>252</v>
      </c>
      <c r="D50" s="759" t="s">
        <v>541</v>
      </c>
      <c r="E50" s="1266"/>
      <c r="F50" s="1266"/>
      <c r="G50" s="1266"/>
      <c r="H50" s="1266"/>
      <c r="I50" s="1263"/>
      <c r="J50" s="759"/>
      <c r="K50" s="759"/>
      <c r="L50" s="760"/>
      <c r="P50" s="1264"/>
      <c r="Q50" s="120"/>
      <c r="R50" s="206"/>
      <c r="S50" s="732"/>
      <c r="T50" s="209" t="s">
        <v>411</v>
      </c>
      <c r="U50" s="211"/>
      <c r="V50" s="211"/>
      <c r="W50" s="211"/>
      <c r="X50" s="211"/>
      <c r="Y50" s="211"/>
      <c r="Z50" s="211"/>
      <c r="AA50" s="211"/>
      <c r="AB50" s="211"/>
      <c r="AC50" s="211"/>
      <c r="AD50" s="211"/>
      <c r="AE50" s="211"/>
      <c r="AF50" s="210"/>
      <c r="AG50" s="211"/>
      <c r="AH50" s="211"/>
      <c r="AI50" s="211"/>
      <c r="AJ50" s="211"/>
      <c r="AK50" s="211"/>
      <c r="AL50" s="211"/>
      <c r="AM50" s="211"/>
      <c r="AN50" s="211"/>
      <c r="AO50" s="211"/>
      <c r="AP50" s="211"/>
      <c r="AQ50" s="210"/>
      <c r="AR50" s="211"/>
      <c r="AS50" s="804"/>
      <c r="AU50" s="69"/>
      <c r="AV50" s="69" t="str">
        <f t="shared" si="1"/>
        <v>Добавить группу потребителей</v>
      </c>
      <c r="AW50" s="69"/>
      <c r="AX50" s="69"/>
    </row>
    <row r="51" spans="1:50" ht="21" customHeight="1">
      <c r="A51" s="759" t="s">
        <v>250</v>
      </c>
      <c r="B51" s="759" t="s">
        <v>251</v>
      </c>
      <c r="C51" s="759" t="s">
        <v>252</v>
      </c>
      <c r="D51" s="759" t="s">
        <v>541</v>
      </c>
      <c r="E51" s="1266"/>
      <c r="F51" s="1266"/>
      <c r="G51" s="1266"/>
      <c r="H51" s="1265"/>
      <c r="I51" s="759"/>
      <c r="J51" s="759"/>
      <c r="K51" s="759"/>
      <c r="L51" s="760"/>
      <c r="M51" s="417"/>
      <c r="N51" s="417"/>
      <c r="O51" s="63"/>
      <c r="P51" s="35"/>
      <c r="Q51" s="214"/>
      <c r="R51" s="205"/>
      <c r="S51" s="732"/>
      <c r="T51" s="105" t="s">
        <v>487</v>
      </c>
      <c r="U51" s="211"/>
      <c r="V51" s="211"/>
      <c r="W51" s="211"/>
      <c r="X51" s="211"/>
      <c r="Y51" s="211"/>
      <c r="Z51" s="211"/>
      <c r="AA51" s="211"/>
      <c r="AB51" s="211"/>
      <c r="AC51" s="211"/>
      <c r="AD51" s="211"/>
      <c r="AE51" s="211"/>
      <c r="AF51" s="210"/>
      <c r="AG51" s="211"/>
      <c r="AH51" s="211"/>
      <c r="AI51" s="211"/>
      <c r="AJ51" s="211"/>
      <c r="AK51" s="211"/>
      <c r="AL51" s="211"/>
      <c r="AM51" s="211"/>
      <c r="AN51" s="211"/>
      <c r="AO51" s="211"/>
      <c r="AP51" s="211"/>
      <c r="AQ51" s="210"/>
      <c r="AR51" s="211"/>
      <c r="AS51" s="172"/>
      <c r="AU51" s="69"/>
      <c r="AV51" s="69" t="str">
        <f t="shared" si="1"/>
        <v>Добавить наименование признака дифференциации</v>
      </c>
      <c r="AW51" s="69"/>
      <c r="AX51" s="69"/>
    </row>
    <row r="52" spans="1:50" s="68" customFormat="1" ht="0" hidden="1" customHeight="1">
      <c r="A52" s="143" t="s">
        <v>250</v>
      </c>
      <c r="B52" s="143" t="s">
        <v>251</v>
      </c>
      <c r="C52" s="143"/>
      <c r="D52" s="143"/>
      <c r="E52" s="1266"/>
      <c r="F52" s="1265"/>
      <c r="G52" s="143"/>
      <c r="H52" s="143"/>
      <c r="I52" s="143"/>
      <c r="J52" s="143"/>
      <c r="K52" s="143"/>
      <c r="L52" s="338"/>
      <c r="M52" s="749"/>
      <c r="N52" s="749"/>
      <c r="P52" s="102"/>
      <c r="Q52" s="745"/>
      <c r="R52" s="102"/>
      <c r="S52" s="750"/>
      <c r="T52" s="752" t="s">
        <v>414</v>
      </c>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U52" s="69"/>
      <c r="AV52" s="69" t="str">
        <f t="shared" si="1"/>
        <v>Добавить централизованную систему для дифференциации</v>
      </c>
      <c r="AW52" s="69"/>
      <c r="AX52" s="69"/>
    </row>
    <row r="53" spans="1:50" s="68" customFormat="1" ht="0" hidden="1" customHeight="1">
      <c r="A53" s="143" t="s">
        <v>250</v>
      </c>
      <c r="B53" s="143"/>
      <c r="C53" s="143"/>
      <c r="D53" s="143"/>
      <c r="E53" s="1265"/>
      <c r="F53" s="143"/>
      <c r="G53" s="143"/>
      <c r="H53" s="143"/>
      <c r="I53" s="143"/>
      <c r="J53" s="143"/>
      <c r="K53" s="143"/>
      <c r="L53" s="338"/>
      <c r="M53" s="749"/>
      <c r="N53" s="749"/>
      <c r="P53" s="102"/>
      <c r="Q53" s="745"/>
      <c r="R53" s="102"/>
      <c r="S53" s="750"/>
      <c r="T53" s="752" t="s">
        <v>415</v>
      </c>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U53" s="69"/>
      <c r="AV53" s="69" t="str">
        <f t="shared" si="1"/>
        <v>Добавить территорию для дифференциации</v>
      </c>
      <c r="AW53" s="69"/>
      <c r="AX53" s="69"/>
    </row>
    <row r="54" spans="1:50" s="68" customFormat="1" ht="0" hidden="1" customHeight="1">
      <c r="A54" s="143"/>
      <c r="B54" s="143"/>
      <c r="C54" s="143"/>
      <c r="D54" s="143"/>
      <c r="E54" s="143"/>
      <c r="F54" s="143"/>
      <c r="G54" s="143"/>
      <c r="H54" s="143"/>
      <c r="I54" s="143"/>
      <c r="J54" s="143"/>
      <c r="K54" s="143"/>
      <c r="L54" s="338"/>
      <c r="M54" s="749"/>
      <c r="N54" s="749"/>
      <c r="P54" s="102"/>
      <c r="Q54" s="745"/>
      <c r="R54" s="102"/>
      <c r="S54" s="750"/>
      <c r="T54" s="752" t="s">
        <v>447</v>
      </c>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U54" s="69"/>
      <c r="AV54" s="69" t="str">
        <f t="shared" si="1"/>
        <v>Добавить наименование тарифа</v>
      </c>
      <c r="AW54" s="69"/>
      <c r="AX54" s="69"/>
    </row>
    <row r="55" spans="1:50" ht="11.25" customHeight="1">
      <c r="M55" s="63"/>
      <c r="N55" s="63"/>
      <c r="O55" s="63"/>
      <c r="P55" s="12"/>
      <c r="Q55" s="12"/>
      <c r="R55" s="12"/>
      <c r="S55" s="12"/>
      <c r="AT55" s="12"/>
      <c r="AU55" s="12"/>
      <c r="AV55" s="12"/>
      <c r="AW55" s="12"/>
      <c r="AX55" s="12"/>
    </row>
    <row r="56" spans="1:50" ht="14.25" customHeight="1">
      <c r="O56" s="63"/>
      <c r="S56" s="196"/>
      <c r="T56" s="1285"/>
      <c r="U56" s="1285"/>
      <c r="V56" s="1285"/>
      <c r="W56" s="1285"/>
      <c r="X56" s="1285"/>
      <c r="Y56" s="1285"/>
      <c r="Z56" s="1285"/>
      <c r="AA56" s="1285"/>
      <c r="AB56" s="1285"/>
      <c r="AC56" s="1285"/>
      <c r="AD56" s="1285"/>
      <c r="AE56" s="1285"/>
      <c r="AF56" s="1285"/>
      <c r="AG56" s="1285"/>
      <c r="AH56" s="1285"/>
      <c r="AI56" s="1285"/>
      <c r="AJ56" s="1285"/>
      <c r="AK56" s="1285"/>
      <c r="AL56" s="1285"/>
      <c r="AM56" s="1285"/>
      <c r="AN56" s="1285"/>
      <c r="AO56" s="1285"/>
      <c r="AP56" s="1285"/>
      <c r="AQ56" s="1285"/>
      <c r="AR56" s="1285"/>
      <c r="AS56" s="1285"/>
    </row>
    <row r="57" spans="1:50" ht="14.25" customHeight="1">
      <c r="O57" s="63"/>
    </row>
    <row r="58" spans="1:50" ht="14.25" customHeight="1">
      <c r="O58" s="63"/>
      <c r="S58" s="196"/>
      <c r="T58" s="1285"/>
      <c r="U58" s="1285"/>
      <c r="V58" s="1285"/>
      <c r="W58" s="1285"/>
      <c r="X58" s="1285"/>
      <c r="Y58" s="1285"/>
      <c r="Z58" s="1285"/>
      <c r="AA58" s="1285"/>
      <c r="AB58" s="1285"/>
      <c r="AC58" s="1285"/>
      <c r="AD58" s="1285"/>
      <c r="AE58" s="1285"/>
      <c r="AF58" s="1285"/>
      <c r="AG58" s="1285"/>
      <c r="AH58" s="1285"/>
      <c r="AI58" s="1285"/>
      <c r="AJ58" s="1285"/>
      <c r="AK58" s="1285"/>
      <c r="AL58" s="1285"/>
      <c r="AM58" s="1285"/>
      <c r="AN58" s="1285"/>
      <c r="AO58" s="1285"/>
      <c r="AP58" s="1285"/>
      <c r="AQ58" s="1285"/>
      <c r="AR58" s="1285"/>
      <c r="AS58" s="1285"/>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B7ACB-0CA4-6B61-8B33-B0E5EBF5B79F}">
  <sheetPr>
    <tabColor theme="6" tint="0.39997558519241921"/>
  </sheetPr>
  <dimension ref="A1:AX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299" hidden="1" customWidth="1"/>
    <col min="13" max="14" width="12.28515625" style="497" hidden="1" customWidth="1"/>
    <col min="15" max="15" width="23.42578125" style="497" hidden="1" customWidth="1"/>
    <col min="16" max="16" width="3.7109375" style="34" customWidth="1"/>
    <col min="17" max="18" width="3.7109375" style="30" customWidth="1"/>
    <col min="19" max="19" width="12.7109375" style="334" customWidth="1"/>
    <col min="20" max="20" width="35.7109375" style="12" customWidth="1"/>
    <col min="21" max="21" width="0.140625" style="12" customWidth="1"/>
    <col min="22" max="28" width="19.7109375" style="12" hidden="1" customWidth="1"/>
    <col min="29" max="29" width="11.7109375" style="12" hidden="1" customWidth="1"/>
    <col min="30" max="30" width="3.7109375" style="12" hidden="1" customWidth="1"/>
    <col min="31" max="31" width="11.7109375" style="12" hidden="1" customWidth="1"/>
    <col min="32" max="32" width="8.5703125" style="12" hidden="1" customWidth="1"/>
    <col min="33" max="39" width="19.7109375" style="12" customWidth="1"/>
    <col min="40" max="40" width="11.7109375" style="12" customWidth="1"/>
    <col min="41" max="41" width="3.7109375" style="12" customWidth="1"/>
    <col min="42" max="42" width="11.7109375" style="12" customWidth="1"/>
    <col min="43" max="43" width="8.5703125" style="12" hidden="1" customWidth="1"/>
    <col min="44" max="44" width="4.7109375" style="12" customWidth="1"/>
    <col min="45" max="45" width="115.7109375" style="12" customWidth="1"/>
    <col min="46" max="47" width="10.5703125" style="68"/>
    <col min="48" max="48" width="11.140625" style="68" customWidth="1"/>
    <col min="49" max="50" width="10.5703125" style="68"/>
  </cols>
  <sheetData>
    <row r="1" spans="1:50" ht="14.25" hidden="1" customHeight="1"/>
    <row r="2" spans="1:50" ht="23.25" hidden="1" customHeight="1">
      <c r="A2" s="759"/>
      <c r="B2" s="759"/>
      <c r="C2" s="759"/>
      <c r="D2" s="759"/>
      <c r="E2" s="1265">
        <v>1</v>
      </c>
      <c r="F2" s="759"/>
      <c r="G2" s="759"/>
      <c r="H2" s="759"/>
      <c r="I2" s="759"/>
      <c r="J2" s="759"/>
      <c r="K2" s="759"/>
      <c r="L2" s="760"/>
      <c r="M2" s="417"/>
      <c r="N2" s="417"/>
      <c r="O2" s="417"/>
      <c r="Q2" s="35"/>
      <c r="R2" s="205"/>
      <c r="S2" s="698" t="e">
        <f>INDEX(PT_DIFFERENTIATION_NUM_NTAR,MATCH(A2,PT_DIFFERENTIATION_NTAR_ID,0))</f>
        <v>#N/A</v>
      </c>
      <c r="T2" s="67" t="s">
        <v>124</v>
      </c>
      <c r="U2" s="169"/>
      <c r="V2" s="1251"/>
      <c r="W2" s="1252"/>
      <c r="X2" s="1252"/>
      <c r="Y2" s="1252"/>
      <c r="Z2" s="1252"/>
      <c r="AA2" s="1252"/>
      <c r="AB2" s="1252"/>
      <c r="AC2" s="1252"/>
      <c r="AD2" s="1252"/>
      <c r="AE2" s="1252"/>
      <c r="AF2" s="1253"/>
      <c r="AG2" s="1251" t="e">
        <f>INDEX(PT_DIFFERENTIATION_NTAR,MATCH(A2,PT_DIFFERENTIATION_NTAR_ID,0))</f>
        <v>#N/A</v>
      </c>
      <c r="AH2" s="1252"/>
      <c r="AI2" s="1252"/>
      <c r="AJ2" s="1252"/>
      <c r="AK2" s="1252"/>
      <c r="AL2" s="1252"/>
      <c r="AM2" s="1252"/>
      <c r="AN2" s="1252"/>
      <c r="AO2" s="1252"/>
      <c r="AP2" s="1252"/>
      <c r="AQ2" s="1252"/>
      <c r="AR2" s="1253"/>
      <c r="AS2"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row>
    <row r="3" spans="1:50" ht="23.25" hidden="1" customHeight="1">
      <c r="A3" s="759"/>
      <c r="B3" s="759"/>
      <c r="C3" s="759"/>
      <c r="D3" s="759"/>
      <c r="E3" s="1266"/>
      <c r="F3" s="1265">
        <v>1</v>
      </c>
      <c r="G3" s="759"/>
      <c r="H3" s="759"/>
      <c r="I3" s="759"/>
      <c r="J3" s="759"/>
      <c r="K3" s="759"/>
      <c r="L3" s="760"/>
      <c r="M3" s="417"/>
      <c r="N3" s="417"/>
      <c r="O3" s="417"/>
      <c r="P3" s="59"/>
      <c r="Q3" s="202"/>
      <c r="R3" s="203"/>
      <c r="S3" s="698" t="e">
        <f>INDEX(PT_DIFFERENTIATION_NUM_TER,MATCH(B3,PT_DIFFERENTIATION_TER_ID,0))</f>
        <v>#N/A</v>
      </c>
      <c r="T3" s="175" t="s">
        <v>396</v>
      </c>
      <c r="U3" s="169"/>
      <c r="V3" s="1251"/>
      <c r="W3" s="1252"/>
      <c r="X3" s="1252"/>
      <c r="Y3" s="1252"/>
      <c r="Z3" s="1252"/>
      <c r="AA3" s="1252"/>
      <c r="AB3" s="1252"/>
      <c r="AC3" s="1252"/>
      <c r="AD3" s="1252"/>
      <c r="AE3" s="1252"/>
      <c r="AF3" s="1253"/>
      <c r="AG3" s="1251" t="e">
        <f>INDEX(PT_DIFFERENTIATION_TER,MATCH(B3,PT_DIFFERENTIATION_TER_ID,0))</f>
        <v>#N/A</v>
      </c>
      <c r="AH3" s="1252"/>
      <c r="AI3" s="1252"/>
      <c r="AJ3" s="1252"/>
      <c r="AK3" s="1252"/>
      <c r="AL3" s="1252"/>
      <c r="AM3" s="1252"/>
      <c r="AN3" s="1252"/>
      <c r="AO3" s="1252"/>
      <c r="AP3" s="1252"/>
      <c r="AQ3" s="1252"/>
      <c r="AR3" s="1253"/>
      <c r="AS3" s="718" t="s">
        <v>397</v>
      </c>
      <c r="AU3" s="69"/>
      <c r="AV3" s="69" t="str">
        <f t="shared" si="0"/>
        <v>Территория действия тарифа</v>
      </c>
      <c r="AW3" s="69"/>
      <c r="AX3" s="69"/>
    </row>
    <row r="4" spans="1:50" ht="23.25" hidden="1" customHeight="1">
      <c r="A4" s="759"/>
      <c r="B4" s="759"/>
      <c r="C4" s="759"/>
      <c r="D4" s="759"/>
      <c r="E4" s="1266"/>
      <c r="F4" s="1266"/>
      <c r="G4" s="1265">
        <v>1</v>
      </c>
      <c r="H4" s="759"/>
      <c r="I4" s="759"/>
      <c r="J4" s="759"/>
      <c r="K4" s="759"/>
      <c r="L4" s="760"/>
      <c r="M4" s="417"/>
      <c r="N4" s="417"/>
      <c r="O4" s="417"/>
      <c r="P4" s="204"/>
      <c r="Q4" s="202"/>
      <c r="R4" s="203"/>
      <c r="S4" s="698" t="e">
        <f>INDEX(PT_DIFFERENTIATION_NUM_CS,MATCH(C4,PT_DIFFERENTIATION_CS_ID,0))</f>
        <v>#N/A</v>
      </c>
      <c r="T4" s="176" t="s">
        <v>529</v>
      </c>
      <c r="U4" s="169"/>
      <c r="V4" s="1251"/>
      <c r="W4" s="1252"/>
      <c r="X4" s="1252"/>
      <c r="Y4" s="1252"/>
      <c r="Z4" s="1252"/>
      <c r="AA4" s="1252"/>
      <c r="AB4" s="1252"/>
      <c r="AC4" s="1252"/>
      <c r="AD4" s="1252"/>
      <c r="AE4" s="1252"/>
      <c r="AF4" s="1253"/>
      <c r="AG4" s="1251" t="e">
        <f>INDEX(PT_DIFFERENTIATION_CS,MATCH(C4,PT_DIFFERENTIATION_CS_ID,0))</f>
        <v>#N/A</v>
      </c>
      <c r="AH4" s="1252"/>
      <c r="AI4" s="1252"/>
      <c r="AJ4" s="1252"/>
      <c r="AK4" s="1252"/>
      <c r="AL4" s="1252"/>
      <c r="AM4" s="1252"/>
      <c r="AN4" s="1252"/>
      <c r="AO4" s="1252"/>
      <c r="AP4" s="1252"/>
      <c r="AQ4" s="1252"/>
      <c r="AR4" s="1253"/>
      <c r="AS4" s="718" t="s">
        <v>530</v>
      </c>
      <c r="AU4" s="69"/>
      <c r="AV4" s="69" t="str">
        <f t="shared" si="0"/>
        <v>Наименование централизованной системы горячего водоснабжения</v>
      </c>
      <c r="AW4" s="69"/>
      <c r="AX4" s="69"/>
    </row>
    <row r="5" spans="1:50" ht="23.25" hidden="1" customHeight="1">
      <c r="A5" s="759"/>
      <c r="B5" s="759"/>
      <c r="C5" s="759"/>
      <c r="D5" s="759"/>
      <c r="E5" s="1266"/>
      <c r="F5" s="1266"/>
      <c r="G5" s="1266"/>
      <c r="H5" s="1266"/>
      <c r="I5" s="1263" t="e">
        <f>S4&amp;".1"</f>
        <v>#N/A</v>
      </c>
      <c r="J5" s="759"/>
      <c r="K5" s="759"/>
      <c r="L5" s="760"/>
      <c r="P5" s="1264">
        <v>1</v>
      </c>
      <c r="Q5" s="120"/>
      <c r="R5" s="206"/>
      <c r="S5" s="698" t="e">
        <f>$I5</f>
        <v>#N/A</v>
      </c>
      <c r="T5" s="162" t="s">
        <v>482</v>
      </c>
      <c r="U5" s="169"/>
      <c r="V5" s="1331"/>
      <c r="W5" s="1332"/>
      <c r="X5" s="1332"/>
      <c r="Y5" s="1332"/>
      <c r="Z5" s="1332"/>
      <c r="AA5" s="1332"/>
      <c r="AB5" s="1332"/>
      <c r="AC5" s="1332"/>
      <c r="AD5" s="1332"/>
      <c r="AE5" s="1332"/>
      <c r="AF5" s="1333"/>
      <c r="AG5" s="1334"/>
      <c r="AH5" s="1335"/>
      <c r="AI5" s="1335"/>
      <c r="AJ5" s="1335"/>
      <c r="AK5" s="1335"/>
      <c r="AL5" s="1335"/>
      <c r="AM5" s="1335"/>
      <c r="AN5" s="1335"/>
      <c r="AO5" s="1335"/>
      <c r="AP5" s="1335"/>
      <c r="AQ5" s="1335"/>
      <c r="AR5" s="1336"/>
      <c r="AS5" s="718" t="s">
        <v>483</v>
      </c>
      <c r="AU5" s="69"/>
      <c r="AV5" s="69" t="str">
        <f t="shared" si="0"/>
        <v>Наименование признака дифференциации</v>
      </c>
      <c r="AW5" s="69"/>
      <c r="AX5" s="69"/>
    </row>
    <row r="6" spans="1:50" ht="23.25" hidden="1" customHeight="1">
      <c r="A6" s="759"/>
      <c r="B6" s="759"/>
      <c r="C6" s="759"/>
      <c r="D6" s="759"/>
      <c r="E6" s="1266"/>
      <c r="F6" s="1266"/>
      <c r="G6" s="1266"/>
      <c r="H6" s="1266"/>
      <c r="I6" s="1286"/>
      <c r="J6" s="1263" t="e">
        <f>I5&amp;".1"</f>
        <v>#N/A</v>
      </c>
      <c r="K6" s="759"/>
      <c r="L6" s="760" t="s">
        <v>405</v>
      </c>
      <c r="P6" s="1264"/>
      <c r="Q6" s="1264">
        <v>1</v>
      </c>
      <c r="R6" s="207"/>
      <c r="S6" s="698" t="e">
        <f>$J6</f>
        <v>#N/A</v>
      </c>
      <c r="T6" s="163" t="s">
        <v>406</v>
      </c>
      <c r="U6" s="169"/>
      <c r="V6" s="1254"/>
      <c r="W6" s="1255"/>
      <c r="X6" s="1255"/>
      <c r="Y6" s="1255"/>
      <c r="Z6" s="1255"/>
      <c r="AA6" s="1255"/>
      <c r="AB6" s="1255"/>
      <c r="AC6" s="1255"/>
      <c r="AD6" s="1255"/>
      <c r="AE6" s="1255"/>
      <c r="AF6" s="1256"/>
      <c r="AG6" s="1254"/>
      <c r="AH6" s="1255"/>
      <c r="AI6" s="1255"/>
      <c r="AJ6" s="1255"/>
      <c r="AK6" s="1255"/>
      <c r="AL6" s="1255"/>
      <c r="AM6" s="1255"/>
      <c r="AN6" s="1255"/>
      <c r="AO6" s="1255"/>
      <c r="AP6" s="1255"/>
      <c r="AQ6" s="1255"/>
      <c r="AR6" s="1256"/>
      <c r="AS6" s="743" t="s">
        <v>484</v>
      </c>
      <c r="AU6" s="69"/>
      <c r="AV6" s="69" t="str">
        <f t="shared" si="0"/>
        <v>Группа потребителей</v>
      </c>
      <c r="AW6" s="69"/>
      <c r="AX6" s="69"/>
    </row>
    <row r="7" spans="1:50" ht="23.25" hidden="1" customHeight="1">
      <c r="A7" s="759"/>
      <c r="B7" s="759"/>
      <c r="C7" s="759"/>
      <c r="D7" s="759"/>
      <c r="E7" s="1266"/>
      <c r="F7" s="1266"/>
      <c r="G7" s="1266"/>
      <c r="H7" s="1266"/>
      <c r="I7" s="1286"/>
      <c r="J7" s="1286"/>
      <c r="K7" s="1263" t="e">
        <f>J6&amp;".1"</f>
        <v>#N/A</v>
      </c>
      <c r="L7" s="760"/>
      <c r="P7" s="1264"/>
      <c r="Q7" s="1264"/>
      <c r="R7" s="207">
        <v>1</v>
      </c>
      <c r="S7" s="698" t="e">
        <f>$K7</f>
        <v>#N/A</v>
      </c>
      <c r="T7" s="802"/>
      <c r="U7" s="169"/>
      <c r="V7" s="304"/>
      <c r="W7" s="304"/>
      <c r="X7" s="304"/>
      <c r="Y7" s="304"/>
      <c r="Z7" s="304"/>
      <c r="AA7" s="304"/>
      <c r="AB7" s="717"/>
      <c r="AC7" s="1268"/>
      <c r="AD7" s="1127" t="s">
        <v>62</v>
      </c>
      <c r="AE7" s="1268"/>
      <c r="AF7" s="1127" t="s">
        <v>62</v>
      </c>
      <c r="AG7" s="304"/>
      <c r="AH7" s="304"/>
      <c r="AI7" s="304"/>
      <c r="AJ7" s="304"/>
      <c r="AK7" s="304"/>
      <c r="AL7" s="304"/>
      <c r="AM7" s="717"/>
      <c r="AN7" s="1268"/>
      <c r="AO7" s="1127" t="s">
        <v>62</v>
      </c>
      <c r="AP7" s="1287"/>
      <c r="AQ7" s="1127" t="s">
        <v>62</v>
      </c>
      <c r="AR7" s="803"/>
      <c r="AS7" s="1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row>
    <row r="8" spans="1:50" ht="14.25" hidden="1" customHeight="1">
      <c r="A8" s="759"/>
      <c r="B8" s="759"/>
      <c r="C8" s="759"/>
      <c r="D8" s="759"/>
      <c r="E8" s="1266"/>
      <c r="F8" s="1266"/>
      <c r="G8" s="1266"/>
      <c r="H8" s="1266"/>
      <c r="I8" s="1286"/>
      <c r="J8" s="1286"/>
      <c r="K8" s="1263"/>
      <c r="L8" s="760"/>
      <c r="P8" s="1264"/>
      <c r="Q8" s="1264"/>
      <c r="R8" s="207"/>
      <c r="S8" s="65"/>
      <c r="T8" s="169"/>
      <c r="U8" s="169"/>
      <c r="V8" s="189"/>
      <c r="W8" s="189"/>
      <c r="X8" s="189"/>
      <c r="Y8" s="189"/>
      <c r="Z8" s="189"/>
      <c r="AA8" s="189"/>
      <c r="AB8" s="190" t="str">
        <f>AC7&amp;"-"&amp;AE7</f>
        <v>-</v>
      </c>
      <c r="AC8" s="1269"/>
      <c r="AD8" s="1127"/>
      <c r="AE8" s="1269"/>
      <c r="AF8" s="1127"/>
      <c r="AG8" s="189"/>
      <c r="AH8" s="189"/>
      <c r="AI8" s="189"/>
      <c r="AJ8" s="189"/>
      <c r="AK8" s="189"/>
      <c r="AL8" s="189"/>
      <c r="AM8" s="190" t="str">
        <f>AN7&amp;"-"&amp;AP7</f>
        <v>-</v>
      </c>
      <c r="AN8" s="1269"/>
      <c r="AO8" s="1127"/>
      <c r="AP8" s="1288"/>
      <c r="AQ8" s="1127"/>
      <c r="AR8" s="379"/>
      <c r="AS8" s="1330"/>
      <c r="AU8" s="69"/>
      <c r="AV8" s="69" t="str">
        <f t="shared" si="0"/>
        <v/>
      </c>
      <c r="AW8" s="69"/>
      <c r="AX8" s="69"/>
    </row>
    <row r="9" spans="1:50" ht="21" hidden="1" customHeight="1">
      <c r="A9" s="759"/>
      <c r="B9" s="759"/>
      <c r="C9" s="759"/>
      <c r="D9" s="759"/>
      <c r="E9" s="1266"/>
      <c r="F9" s="1266"/>
      <c r="G9" s="1266"/>
      <c r="H9" s="1266"/>
      <c r="I9" s="1286"/>
      <c r="J9" s="1263"/>
      <c r="K9" s="759"/>
      <c r="L9" s="760"/>
      <c r="P9" s="1264"/>
      <c r="Q9" s="1264"/>
      <c r="R9" s="206"/>
      <c r="S9" s="732"/>
      <c r="T9" s="164" t="s">
        <v>485</v>
      </c>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718" t="s">
        <v>486</v>
      </c>
      <c r="AU9" s="69"/>
      <c r="AV9" s="69" t="str">
        <f t="shared" si="0"/>
        <v>Добавить значение признака дифференциации</v>
      </c>
      <c r="AW9" s="69"/>
      <c r="AX9" s="69"/>
    </row>
    <row r="10" spans="1:50" ht="21" hidden="1" customHeight="1">
      <c r="A10" s="759"/>
      <c r="B10" s="759"/>
      <c r="C10" s="759"/>
      <c r="D10" s="759"/>
      <c r="E10" s="1266"/>
      <c r="F10" s="1266"/>
      <c r="G10" s="1266"/>
      <c r="H10" s="1266"/>
      <c r="I10" s="1263"/>
      <c r="J10" s="759"/>
      <c r="K10" s="759"/>
      <c r="L10" s="760"/>
      <c r="P10" s="1264"/>
      <c r="Q10" s="120"/>
      <c r="R10" s="206"/>
      <c r="S10" s="732"/>
      <c r="T10" s="209" t="s">
        <v>411</v>
      </c>
      <c r="U10" s="211"/>
      <c r="V10" s="211"/>
      <c r="W10" s="211"/>
      <c r="X10" s="211"/>
      <c r="Y10" s="211"/>
      <c r="Z10" s="211"/>
      <c r="AA10" s="211"/>
      <c r="AB10" s="211"/>
      <c r="AC10" s="211"/>
      <c r="AD10" s="211"/>
      <c r="AE10" s="211"/>
      <c r="AF10" s="210"/>
      <c r="AG10" s="211"/>
      <c r="AH10" s="211"/>
      <c r="AI10" s="211"/>
      <c r="AJ10" s="211"/>
      <c r="AK10" s="211"/>
      <c r="AL10" s="211"/>
      <c r="AM10" s="211"/>
      <c r="AN10" s="211"/>
      <c r="AO10" s="211"/>
      <c r="AP10" s="211"/>
      <c r="AQ10" s="210"/>
      <c r="AR10" s="211"/>
      <c r="AS10" s="804"/>
      <c r="AU10" s="69"/>
      <c r="AV10" s="69" t="str">
        <f t="shared" si="0"/>
        <v>Добавить группу потребителей</v>
      </c>
      <c r="AW10" s="69"/>
      <c r="AX10" s="69"/>
    </row>
    <row r="11" spans="1:50" ht="21" hidden="1" customHeight="1">
      <c r="A11" s="759"/>
      <c r="B11" s="759"/>
      <c r="C11" s="759"/>
      <c r="D11" s="759"/>
      <c r="E11" s="1266"/>
      <c r="F11" s="1266"/>
      <c r="G11" s="1266"/>
      <c r="H11" s="1265"/>
      <c r="I11" s="759"/>
      <c r="J11" s="759"/>
      <c r="K11" s="759"/>
      <c r="L11" s="760"/>
      <c r="M11" s="417"/>
      <c r="N11" s="417"/>
      <c r="O11" s="63"/>
      <c r="P11" s="35"/>
      <c r="Q11" s="214"/>
      <c r="R11" s="205"/>
      <c r="S11" s="732"/>
      <c r="T11" s="105" t="s">
        <v>487</v>
      </c>
      <c r="U11" s="211"/>
      <c r="V11" s="211"/>
      <c r="W11" s="211"/>
      <c r="X11" s="211"/>
      <c r="Y11" s="211"/>
      <c r="Z11" s="211"/>
      <c r="AA11" s="211"/>
      <c r="AB11" s="211"/>
      <c r="AC11" s="211"/>
      <c r="AD11" s="211"/>
      <c r="AE11" s="211"/>
      <c r="AF11" s="210"/>
      <c r="AG11" s="211"/>
      <c r="AH11" s="211"/>
      <c r="AI11" s="211"/>
      <c r="AJ11" s="211"/>
      <c r="AK11" s="211"/>
      <c r="AL11" s="211"/>
      <c r="AM11" s="211"/>
      <c r="AN11" s="211"/>
      <c r="AO11" s="211"/>
      <c r="AP11" s="211"/>
      <c r="AQ11" s="210"/>
      <c r="AR11" s="211"/>
      <c r="AS11" s="172"/>
      <c r="AU11" s="69"/>
      <c r="AV11" s="69" t="str">
        <f t="shared" si="0"/>
        <v>Добавить наименование признака дифференциации</v>
      </c>
      <c r="AW11" s="69"/>
      <c r="AX11" s="69"/>
    </row>
    <row r="12" spans="1:50" s="68" customFormat="1" ht="14.25" hidden="1" customHeight="1">
      <c r="A12" s="143"/>
      <c r="B12" s="143"/>
      <c r="C12" s="143"/>
      <c r="D12" s="143"/>
      <c r="E12" s="1266"/>
      <c r="F12" s="1265"/>
      <c r="G12" s="143"/>
      <c r="H12" s="143"/>
      <c r="I12" s="143"/>
      <c r="J12" s="143"/>
      <c r="K12" s="143"/>
      <c r="L12" s="338"/>
      <c r="M12" s="749"/>
      <c r="N12" s="749"/>
      <c r="P12" s="102"/>
      <c r="Q12" s="745"/>
      <c r="R12" s="102"/>
      <c r="S12" s="750"/>
      <c r="T12" s="752" t="s">
        <v>414</v>
      </c>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311"/>
      <c r="AU12" s="69"/>
      <c r="AV12" s="69" t="str">
        <f t="shared" si="0"/>
        <v>Добавить централизованную систему для дифференциации</v>
      </c>
      <c r="AW12" s="69"/>
      <c r="AX12" s="69"/>
    </row>
    <row r="13" spans="1:50" s="68" customFormat="1" ht="14.25" hidden="1" customHeight="1">
      <c r="A13" s="143"/>
      <c r="B13" s="143"/>
      <c r="C13" s="143"/>
      <c r="D13" s="143"/>
      <c r="E13" s="1265"/>
      <c r="F13" s="143"/>
      <c r="G13" s="143"/>
      <c r="H13" s="143"/>
      <c r="I13" s="143"/>
      <c r="J13" s="143"/>
      <c r="K13" s="143"/>
      <c r="L13" s="338"/>
      <c r="M13" s="749"/>
      <c r="N13" s="749"/>
      <c r="P13" s="102"/>
      <c r="Q13" s="745"/>
      <c r="R13" s="102"/>
      <c r="S13" s="750"/>
      <c r="T13" s="752" t="s">
        <v>415</v>
      </c>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U13" s="69"/>
      <c r="AV13" s="69" t="str">
        <f t="shared" si="0"/>
        <v>Добавить территорию для дифференциации</v>
      </c>
      <c r="AW13" s="69"/>
      <c r="AX13" s="69"/>
    </row>
    <row r="14" spans="1:50" ht="14.25" hidden="1" customHeight="1"/>
    <row r="15" spans="1:50" ht="14.25" hidden="1" customHeight="1">
      <c r="AG15" s="359"/>
      <c r="AH15" s="359"/>
      <c r="AI15" s="359"/>
      <c r="AJ15" s="359"/>
      <c r="AK15" s="359"/>
      <c r="AL15" s="359"/>
      <c r="AM15" s="758"/>
      <c r="AN15" s="1270"/>
      <c r="AO15" s="1271" t="s">
        <v>62</v>
      </c>
      <c r="AP15" s="1270"/>
      <c r="AQ15" s="1271" t="s">
        <v>62</v>
      </c>
    </row>
    <row r="16" spans="1:50" ht="14.25" hidden="1" customHeight="1">
      <c r="AG16" s="359"/>
      <c r="AH16" s="359"/>
      <c r="AI16" s="359"/>
      <c r="AJ16" s="359"/>
      <c r="AK16" s="359"/>
      <c r="AL16" s="359"/>
      <c r="AM16" s="190" t="str">
        <f>AN15&amp;"-"&amp;AP15</f>
        <v>-</v>
      </c>
      <c r="AN16" s="1271"/>
      <c r="AO16" s="1271"/>
      <c r="AP16" s="1271"/>
      <c r="AQ16" s="1271"/>
    </row>
    <row r="17" spans="1:50" ht="14.25" hidden="1" customHeight="1"/>
    <row r="18" spans="1:50" s="63" customFormat="1" ht="22.5" hidden="1" customHeight="1">
      <c r="L18" s="299"/>
      <c r="M18" s="497"/>
      <c r="N18" s="497"/>
      <c r="O18" s="761" t="s">
        <v>416</v>
      </c>
      <c r="P18" s="497"/>
      <c r="Q18" s="762"/>
      <c r="R18" s="762"/>
      <c r="S18" s="417"/>
      <c r="AC18" s="761"/>
      <c r="AE18" s="761"/>
      <c r="AN18" s="761"/>
      <c r="AP18" s="761"/>
      <c r="AT18" s="68"/>
      <c r="AU18" s="68"/>
      <c r="AV18" s="68"/>
      <c r="AW18" s="68"/>
      <c r="AX18" s="68"/>
    </row>
    <row r="19" spans="1:50" s="63" customFormat="1" ht="14.25" hidden="1" customHeight="1">
      <c r="L19" s="299"/>
      <c r="M19" s="497"/>
      <c r="N19" s="497"/>
      <c r="O19" s="497"/>
      <c r="P19" s="497"/>
      <c r="Q19" s="762"/>
      <c r="R19" s="762"/>
      <c r="S19" s="417"/>
      <c r="AT19" s="68"/>
      <c r="AU19" s="68"/>
      <c r="AV19" s="68"/>
      <c r="AW19" s="68"/>
      <c r="AX19" s="68"/>
    </row>
    <row r="20" spans="1:50" s="63" customFormat="1" ht="12" hidden="1" customHeight="1">
      <c r="L20" s="299"/>
      <c r="M20" s="497"/>
      <c r="N20" s="497"/>
      <c r="O20" s="760" t="s">
        <v>417</v>
      </c>
      <c r="P20" s="497"/>
      <c r="Q20" s="805"/>
      <c r="R20" s="805"/>
      <c r="S20" s="417"/>
      <c r="T20" s="63" t="s">
        <v>418</v>
      </c>
      <c r="AD20" s="81" t="s">
        <v>419</v>
      </c>
      <c r="AF20" s="81" t="s">
        <v>420</v>
      </c>
      <c r="AG20" s="63" t="s">
        <v>418</v>
      </c>
      <c r="AO20" s="81" t="s">
        <v>421</v>
      </c>
      <c r="AQ20" s="81" t="s">
        <v>420</v>
      </c>
    </row>
    <row r="21" spans="1:50" ht="14.25" hidden="1" customHeight="1">
      <c r="O21" s="760"/>
    </row>
    <row r="22" spans="1:50" ht="14.25" hidden="1" customHeight="1">
      <c r="O22" s="760"/>
    </row>
    <row r="23" spans="1:50" ht="14.25" customHeight="1">
      <c r="Q23" s="29"/>
      <c r="R23" s="29"/>
      <c r="S23" s="729"/>
      <c r="T23" s="11"/>
      <c r="U23" s="11"/>
    </row>
    <row r="24" spans="1:50" ht="24.75" customHeight="1">
      <c r="Q24" s="29"/>
      <c r="R24" s="29"/>
      <c r="S24" s="1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49"/>
      <c r="U24" s="1249"/>
      <c r="V24" s="1249"/>
      <c r="W24" s="1249"/>
      <c r="X24" s="1249"/>
      <c r="Y24" s="1249"/>
      <c r="Z24" s="1249"/>
      <c r="AA24" s="1249"/>
      <c r="AB24" s="1249"/>
      <c r="AC24" s="1249"/>
      <c r="AD24" s="1249"/>
      <c r="AE24" s="1249"/>
      <c r="AF24" s="1249"/>
      <c r="AG24" s="1249"/>
      <c r="AH24" s="1249"/>
      <c r="AI24" s="1249"/>
      <c r="AJ24" s="1249"/>
      <c r="AK24" s="1249"/>
      <c r="AL24" s="1249"/>
      <c r="AM24" s="1249"/>
      <c r="AN24" s="1249"/>
      <c r="AO24" s="1249"/>
      <c r="AP24" s="1249"/>
      <c r="AQ24" s="60"/>
    </row>
    <row r="25" spans="1:50" ht="14.25" customHeight="1">
      <c r="Q25" s="29"/>
      <c r="R25" s="29"/>
      <c r="S25" s="1194" t="str">
        <f>IF(org=0,"Не определено",org)</f>
        <v>АО "ХТК"</v>
      </c>
      <c r="T25" s="1194"/>
      <c r="U25" s="1194"/>
      <c r="V25" s="1194"/>
      <c r="W25" s="1194"/>
      <c r="X25" s="1194"/>
      <c r="Y25" s="1194"/>
      <c r="Z25" s="1194"/>
      <c r="AA25" s="1194"/>
      <c r="AB25" s="1194"/>
      <c r="AC25" s="1194"/>
      <c r="AD25" s="1194"/>
      <c r="AE25" s="1194"/>
      <c r="AF25" s="1194"/>
      <c r="AG25" s="1194"/>
      <c r="AH25" s="1194"/>
      <c r="AI25" s="1194"/>
      <c r="AJ25" s="1194"/>
      <c r="AK25" s="1194"/>
      <c r="AL25" s="1194"/>
      <c r="AM25" s="1194"/>
      <c r="AN25" s="1194"/>
      <c r="AO25" s="1194"/>
      <c r="AP25" s="1194"/>
      <c r="AQ25" s="60"/>
    </row>
    <row r="26" spans="1:50" ht="14.25" hidden="1" customHeight="1">
      <c r="Q26" s="29"/>
      <c r="R26" s="29"/>
      <c r="S26" s="729"/>
      <c r="T26" s="11"/>
      <c r="U26" s="11"/>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row>
    <row r="27" spans="1:50" s="36" customFormat="1" ht="25.5" hidden="1" customHeight="1">
      <c r="A27" s="81"/>
      <c r="B27" s="81"/>
      <c r="C27" s="81"/>
      <c r="D27" s="81"/>
      <c r="E27" s="81"/>
      <c r="F27" s="81"/>
      <c r="G27" s="81"/>
      <c r="H27" s="81"/>
      <c r="I27" s="81"/>
      <c r="J27" s="81"/>
      <c r="K27" s="81"/>
      <c r="L27" s="760"/>
      <c r="M27" s="81"/>
      <c r="N27" s="81"/>
      <c r="O27" s="81"/>
      <c r="S27" s="1257" t="s">
        <v>37</v>
      </c>
      <c r="T27" s="1257"/>
      <c r="U27" s="763"/>
      <c r="V27" s="1258" t="str">
        <f>IF(TITLE_NAME_OR_PR_CHANGE="",IF(TITLE_NAME_OR_PR="","",TITLE_NAME_OR_PR),TITLE_NAME_OR_PR_CHANGE)</f>
        <v/>
      </c>
      <c r="W27" s="1258"/>
      <c r="X27" s="1258"/>
      <c r="Y27" s="1258"/>
      <c r="Z27" s="1258"/>
      <c r="AA27" s="1258"/>
      <c r="AB27" s="1258"/>
      <c r="AC27" s="1258"/>
      <c r="AD27" s="1258"/>
      <c r="AE27" s="1258"/>
      <c r="AF27" s="12"/>
      <c r="AG27" s="1258" t="str">
        <f>IF(TITLE_NAME_OR_PR_CHANGE="",IF(TITLE_NAME_OR_PR="","",TITLE_NAME_OR_PR),TITLE_NAME_OR_PR_CHANGE)</f>
        <v/>
      </c>
      <c r="AH27" s="1258"/>
      <c r="AI27" s="1258"/>
      <c r="AJ27" s="1258"/>
      <c r="AK27" s="1258"/>
      <c r="AL27" s="1258"/>
      <c r="AM27" s="1258"/>
      <c r="AN27" s="1258"/>
      <c r="AO27" s="1258"/>
      <c r="AP27" s="1258"/>
      <c r="AQ27" s="12"/>
      <c r="AR27" s="12"/>
      <c r="AS27" s="161"/>
      <c r="AT27" s="69"/>
      <c r="AU27" s="69"/>
      <c r="AV27" s="69"/>
      <c r="AW27" s="69"/>
      <c r="AX27" s="69"/>
    </row>
    <row r="28" spans="1:50" s="36" customFormat="1" ht="18.75" hidden="1" customHeight="1">
      <c r="A28" s="81"/>
      <c r="B28" s="81"/>
      <c r="C28" s="81"/>
      <c r="D28" s="81"/>
      <c r="E28" s="81"/>
      <c r="F28" s="81"/>
      <c r="G28" s="81"/>
      <c r="H28" s="81"/>
      <c r="I28" s="81"/>
      <c r="J28" s="81"/>
      <c r="K28" s="81"/>
      <c r="L28" s="760"/>
      <c r="M28" s="81"/>
      <c r="N28" s="81"/>
      <c r="O28" s="81"/>
      <c r="S28" s="1257" t="s">
        <v>422</v>
      </c>
      <c r="T28" s="1257"/>
      <c r="U28" s="763"/>
      <c r="V28" s="1267" t="str">
        <f>IF(TITLE_DATE_PR_CHANGE="",IF(TITLE_DATE_PR="","",TITLE_DATE_PR),TITLE_DATE_PR_CHANGE)</f>
        <v/>
      </c>
      <c r="W28" s="1267"/>
      <c r="X28" s="1267"/>
      <c r="Y28" s="1267"/>
      <c r="Z28" s="1267"/>
      <c r="AA28" s="1267"/>
      <c r="AB28" s="1267"/>
      <c r="AC28" s="1267"/>
      <c r="AD28" s="1267"/>
      <c r="AE28" s="1267"/>
      <c r="AF28" s="12"/>
      <c r="AG28" s="1267" t="str">
        <f>IF(TITLE_DATE_PR_CHANGE="",IF(TITLE_DATE_PR="","",TITLE_DATE_PR),TITLE_DATE_PR_CHANGE)</f>
        <v/>
      </c>
      <c r="AH28" s="1267"/>
      <c r="AI28" s="1267"/>
      <c r="AJ28" s="1267"/>
      <c r="AK28" s="1267"/>
      <c r="AL28" s="1267"/>
      <c r="AM28" s="1267"/>
      <c r="AN28" s="1267"/>
      <c r="AO28" s="1267"/>
      <c r="AP28" s="1267"/>
      <c r="AQ28" s="12"/>
      <c r="AR28" s="12"/>
      <c r="AS28" s="161"/>
      <c r="AT28" s="69"/>
      <c r="AU28" s="69"/>
      <c r="AV28" s="69"/>
      <c r="AW28" s="69"/>
      <c r="AX28" s="69"/>
    </row>
    <row r="29" spans="1:50" s="36" customFormat="1" ht="18.75" hidden="1" customHeight="1">
      <c r="A29" s="81"/>
      <c r="B29" s="81"/>
      <c r="C29" s="81"/>
      <c r="D29" s="81"/>
      <c r="E29" s="81"/>
      <c r="F29" s="81"/>
      <c r="G29" s="81"/>
      <c r="H29" s="81"/>
      <c r="I29" s="81"/>
      <c r="J29" s="81"/>
      <c r="K29" s="81"/>
      <c r="L29" s="760"/>
      <c r="M29" s="81"/>
      <c r="N29" s="81"/>
      <c r="O29" s="81"/>
      <c r="S29" s="1257" t="s">
        <v>423</v>
      </c>
      <c r="T29" s="1257"/>
      <c r="U29" s="763"/>
      <c r="V29" s="1258" t="str">
        <f>IF(TITLE_NUMBER_PR_CHANGE="",IF(TITLE_NUMBER_PR="","",TITLE_NUMBER_PR),TITLE_NUMBER_PR_CHANGE)</f>
        <v/>
      </c>
      <c r="W29" s="1258"/>
      <c r="X29" s="1258"/>
      <c r="Y29" s="1258"/>
      <c r="Z29" s="1258"/>
      <c r="AA29" s="1258"/>
      <c r="AB29" s="1258"/>
      <c r="AC29" s="1258"/>
      <c r="AD29" s="1258"/>
      <c r="AE29" s="1258"/>
      <c r="AF29" s="12"/>
      <c r="AG29" s="1258" t="str">
        <f>IF(TITLE_NUMBER_PR_CHANGE="",IF(TITLE_NUMBER_PR="","",TITLE_NUMBER_PR),TITLE_NUMBER_PR_CHANGE)</f>
        <v/>
      </c>
      <c r="AH29" s="1258"/>
      <c r="AI29" s="1258"/>
      <c r="AJ29" s="1258"/>
      <c r="AK29" s="1258"/>
      <c r="AL29" s="1258"/>
      <c r="AM29" s="1258"/>
      <c r="AN29" s="1258"/>
      <c r="AO29" s="1258"/>
      <c r="AP29" s="1258"/>
      <c r="AQ29" s="12"/>
      <c r="AR29" s="12"/>
      <c r="AS29" s="161"/>
      <c r="AT29" s="69"/>
      <c r="AU29" s="69"/>
      <c r="AV29" s="69"/>
      <c r="AW29" s="69"/>
      <c r="AX29" s="69"/>
    </row>
    <row r="30" spans="1:50" s="36" customFormat="1" ht="18.75" hidden="1" customHeight="1">
      <c r="A30" s="81"/>
      <c r="B30" s="81"/>
      <c r="C30" s="81"/>
      <c r="D30" s="81"/>
      <c r="E30" s="81"/>
      <c r="F30" s="81"/>
      <c r="G30" s="81"/>
      <c r="H30" s="81"/>
      <c r="I30" s="81"/>
      <c r="J30" s="81"/>
      <c r="K30" s="81"/>
      <c r="L30" s="760"/>
      <c r="M30" s="81"/>
      <c r="N30" s="81"/>
      <c r="O30" s="81"/>
      <c r="S30" s="1257" t="s">
        <v>38</v>
      </c>
      <c r="T30" s="1257"/>
      <c r="U30" s="763"/>
      <c r="V30" s="1258" t="str">
        <f>IF(TITLE_IST_PUB_CHANGE="",IF(TITLE_IST_PUB="","",TITLE_IST_PUB),TITLE_IST_PUB_CHANGE)</f>
        <v/>
      </c>
      <c r="W30" s="1258"/>
      <c r="X30" s="1258"/>
      <c r="Y30" s="1258"/>
      <c r="Z30" s="1258"/>
      <c r="AA30" s="1258"/>
      <c r="AB30" s="1258"/>
      <c r="AC30" s="1258"/>
      <c r="AD30" s="1258"/>
      <c r="AE30" s="1258"/>
      <c r="AF30" s="12"/>
      <c r="AG30" s="1258" t="str">
        <f>IF(TITLE_IST_PUB_CHANGE="",IF(TITLE_IST_PUB="","",TITLE_IST_PUB),TITLE_IST_PUB_CHANGE)</f>
        <v/>
      </c>
      <c r="AH30" s="1258"/>
      <c r="AI30" s="1258"/>
      <c r="AJ30" s="1258"/>
      <c r="AK30" s="1258"/>
      <c r="AL30" s="1258"/>
      <c r="AM30" s="1258"/>
      <c r="AN30" s="1258"/>
      <c r="AO30" s="1258"/>
      <c r="AP30" s="1258"/>
      <c r="AQ30" s="12"/>
      <c r="AR30" s="12"/>
      <c r="AS30" s="161"/>
      <c r="AT30" s="69"/>
      <c r="AU30" s="69"/>
      <c r="AV30" s="69"/>
      <c r="AW30" s="69"/>
      <c r="AX30" s="69"/>
    </row>
    <row r="31" spans="1:50" ht="14.25" hidden="1" customHeight="1">
      <c r="Q31" s="29"/>
      <c r="R31" s="29"/>
      <c r="S31" s="729"/>
      <c r="T31" s="11"/>
      <c r="U31" s="11"/>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row>
    <row r="32" spans="1:50" s="36" customFormat="1" ht="18.75" hidden="1" customHeight="1">
      <c r="A32" s="81"/>
      <c r="B32" s="81"/>
      <c r="C32" s="81"/>
      <c r="D32" s="81"/>
      <c r="E32" s="81"/>
      <c r="F32" s="81"/>
      <c r="G32" s="81"/>
      <c r="H32" s="81"/>
      <c r="I32" s="81"/>
      <c r="J32" s="81"/>
      <c r="K32" s="81"/>
      <c r="L32" s="760"/>
      <c r="M32" s="81"/>
      <c r="N32" s="81"/>
      <c r="O32" s="81"/>
      <c r="S32" s="1257" t="s">
        <v>424</v>
      </c>
      <c r="T32" s="1257"/>
      <c r="U32" s="763"/>
      <c r="V32" s="1267" t="str">
        <f>IF(TITLE_DATE_PR_CHANGE="",IF(TITLE_DATE_PR="","",TITLE_DATE_PR),TITLE_DATE_PR_CHANGE)</f>
        <v/>
      </c>
      <c r="W32" s="1267"/>
      <c r="X32" s="1267"/>
      <c r="Y32" s="1267"/>
      <c r="Z32" s="1267"/>
      <c r="AA32" s="1267"/>
      <c r="AB32" s="1267"/>
      <c r="AC32" s="1267"/>
      <c r="AD32" s="1267"/>
      <c r="AE32" s="1267"/>
      <c r="AF32" s="12"/>
      <c r="AG32" s="1267" t="str">
        <f>IF(TITLE_DATE_PR_CHANGE="",IF(TITLE_DATE_PR="","",TITLE_DATE_PR),TITLE_DATE_PR_CHANGE)</f>
        <v/>
      </c>
      <c r="AH32" s="1267"/>
      <c r="AI32" s="1267"/>
      <c r="AJ32" s="1267"/>
      <c r="AK32" s="1267"/>
      <c r="AL32" s="1267"/>
      <c r="AM32" s="1267"/>
      <c r="AN32" s="1267"/>
      <c r="AO32" s="1267"/>
      <c r="AP32" s="1267"/>
      <c r="AQ32" s="12"/>
      <c r="AR32" s="12"/>
      <c r="AS32" s="161"/>
      <c r="AT32" s="69"/>
      <c r="AU32" s="69"/>
      <c r="AV32" s="69"/>
      <c r="AW32" s="69"/>
      <c r="AX32" s="69"/>
    </row>
    <row r="33" spans="1:50" s="36" customFormat="1" ht="18.75" hidden="1" customHeight="1">
      <c r="A33" s="81"/>
      <c r="B33" s="81"/>
      <c r="C33" s="81"/>
      <c r="D33" s="81"/>
      <c r="E33" s="81"/>
      <c r="F33" s="81"/>
      <c r="G33" s="81"/>
      <c r="H33" s="81"/>
      <c r="I33" s="81"/>
      <c r="J33" s="81"/>
      <c r="K33" s="81"/>
      <c r="L33" s="760"/>
      <c r="M33" s="81"/>
      <c r="N33" s="81"/>
      <c r="O33" s="81"/>
      <c r="S33" s="1257" t="s">
        <v>425</v>
      </c>
      <c r="T33" s="1257"/>
      <c r="U33" s="763"/>
      <c r="V33" s="1258" t="str">
        <f>IF(TITLE_NUMBER_PR_CHANGE="",IF(TITLE_NUMBER_PR="","",TITLE_NUMBER_PR),TITLE_NUMBER_PR_CHANGE)</f>
        <v/>
      </c>
      <c r="W33" s="1258"/>
      <c r="X33" s="1258"/>
      <c r="Y33" s="1258"/>
      <c r="Z33" s="1258"/>
      <c r="AA33" s="1258"/>
      <c r="AB33" s="1258"/>
      <c r="AC33" s="1258"/>
      <c r="AD33" s="1258"/>
      <c r="AE33" s="1258"/>
      <c r="AF33" s="12"/>
      <c r="AG33" s="1258" t="str">
        <f>IF(TITLE_NUMBER_PR_CHANGE="",IF(TITLE_NUMBER_PR="","",TITLE_NUMBER_PR),TITLE_NUMBER_PR_CHANGE)</f>
        <v/>
      </c>
      <c r="AH33" s="1258"/>
      <c r="AI33" s="1258"/>
      <c r="AJ33" s="1258"/>
      <c r="AK33" s="1258"/>
      <c r="AL33" s="1258"/>
      <c r="AM33" s="1258"/>
      <c r="AN33" s="1258"/>
      <c r="AO33" s="1258"/>
      <c r="AP33" s="1258"/>
      <c r="AQ33" s="12"/>
      <c r="AR33" s="12"/>
      <c r="AS33" s="161"/>
      <c r="AT33" s="69"/>
      <c r="AU33" s="69"/>
      <c r="AV33" s="69"/>
      <c r="AW33" s="69"/>
      <c r="AX33" s="69"/>
    </row>
    <row r="34" spans="1:50" s="36" customFormat="1" ht="0.75" customHeight="1">
      <c r="A34" s="81"/>
      <c r="B34" s="81"/>
      <c r="C34" s="81"/>
      <c r="D34" s="81"/>
      <c r="E34" s="81"/>
      <c r="F34" s="81"/>
      <c r="G34" s="81"/>
      <c r="H34" s="81"/>
      <c r="I34" s="81"/>
      <c r="J34" s="81"/>
      <c r="K34" s="81"/>
      <c r="L34" s="760"/>
      <c r="M34" s="81"/>
      <c r="N34" s="81"/>
      <c r="O34" s="81"/>
      <c r="S34" s="12"/>
      <c r="T34" s="12"/>
      <c r="U34" s="77"/>
      <c r="V34" s="12"/>
      <c r="W34" s="12"/>
      <c r="X34" s="12"/>
      <c r="Y34" s="12"/>
      <c r="Z34" s="12"/>
      <c r="AA34" s="12"/>
      <c r="AB34" s="12"/>
      <c r="AC34" s="12"/>
      <c r="AD34" s="12"/>
      <c r="AE34" s="12"/>
      <c r="AF34" s="68" t="s">
        <v>426</v>
      </c>
      <c r="AG34" s="12"/>
      <c r="AH34" s="12"/>
      <c r="AI34" s="12"/>
      <c r="AJ34" s="12"/>
      <c r="AK34" s="12"/>
      <c r="AL34" s="12"/>
      <c r="AM34" s="12"/>
      <c r="AN34" s="12"/>
      <c r="AO34" s="12"/>
      <c r="AP34" s="12"/>
      <c r="AQ34" s="68" t="s">
        <v>426</v>
      </c>
      <c r="AT34" s="69"/>
      <c r="AU34" s="69"/>
      <c r="AV34" s="69"/>
      <c r="AW34" s="69"/>
      <c r="AX34" s="69"/>
    </row>
    <row r="35" spans="1:50" ht="14.25" customHeight="1">
      <c r="Q35" s="29"/>
      <c r="R35" s="29"/>
      <c r="S35" s="729"/>
      <c r="T35" s="11"/>
      <c r="U35" s="709"/>
      <c r="V35" s="1259"/>
      <c r="W35" s="1259"/>
      <c r="X35" s="1259"/>
      <c r="Y35" s="1259"/>
      <c r="Z35" s="1259"/>
      <c r="AA35" s="1259"/>
      <c r="AB35" s="1259"/>
      <c r="AC35" s="1259"/>
      <c r="AD35" s="1259"/>
      <c r="AE35" s="1259"/>
      <c r="AF35" s="1259"/>
      <c r="AG35" s="1259"/>
      <c r="AH35" s="1259"/>
      <c r="AI35" s="1259"/>
      <c r="AJ35" s="1259"/>
      <c r="AK35" s="1259"/>
      <c r="AL35" s="1259"/>
      <c r="AM35" s="1259"/>
      <c r="AN35" s="1259"/>
      <c r="AO35" s="1259"/>
      <c r="AP35" s="1259"/>
      <c r="AQ35" s="1259"/>
    </row>
    <row r="36" spans="1:50" ht="14.25" customHeight="1">
      <c r="Q36" s="29"/>
      <c r="R36" s="29"/>
      <c r="S36" s="1146" t="s">
        <v>299</v>
      </c>
      <c r="T36" s="1146"/>
      <c r="U36" s="1146"/>
      <c r="V36" s="1146"/>
      <c r="W36" s="1146"/>
      <c r="X36" s="1146"/>
      <c r="Y36" s="1146"/>
      <c r="Z36" s="1146"/>
      <c r="AA36" s="1146"/>
      <c r="AB36" s="1146"/>
      <c r="AC36" s="1146"/>
      <c r="AD36" s="1146"/>
      <c r="AE36" s="1146"/>
      <c r="AF36" s="1146"/>
      <c r="AG36" s="1146"/>
      <c r="AH36" s="1146"/>
      <c r="AI36" s="1146"/>
      <c r="AJ36" s="1146"/>
      <c r="AK36" s="1146"/>
      <c r="AL36" s="1146"/>
      <c r="AM36" s="1146"/>
      <c r="AN36" s="1146"/>
      <c r="AO36" s="1146"/>
      <c r="AP36" s="1146"/>
      <c r="AQ36" s="1146"/>
      <c r="AR36" s="1146"/>
      <c r="AS36" s="1146" t="s">
        <v>300</v>
      </c>
    </row>
    <row r="37" spans="1:50" ht="14.25" customHeight="1">
      <c r="Q37" s="29"/>
      <c r="R37" s="29"/>
      <c r="S37" s="1273" t="s">
        <v>84</v>
      </c>
      <c r="T37" s="1224" t="s">
        <v>427</v>
      </c>
      <c r="U37" s="170"/>
      <c r="V37" s="1274" t="s">
        <v>428</v>
      </c>
      <c r="W37" s="1275"/>
      <c r="X37" s="1275"/>
      <c r="Y37" s="1275"/>
      <c r="Z37" s="1275"/>
      <c r="AA37" s="1275"/>
      <c r="AB37" s="1275"/>
      <c r="AC37" s="1275"/>
      <c r="AD37" s="1275"/>
      <c r="AE37" s="1276"/>
      <c r="AF37" s="1277" t="s">
        <v>429</v>
      </c>
      <c r="AG37" s="1274" t="s">
        <v>428</v>
      </c>
      <c r="AH37" s="1275"/>
      <c r="AI37" s="1275"/>
      <c r="AJ37" s="1275"/>
      <c r="AK37" s="1275"/>
      <c r="AL37" s="1275"/>
      <c r="AM37" s="1275"/>
      <c r="AN37" s="1275"/>
      <c r="AO37" s="1275"/>
      <c r="AP37" s="1276"/>
      <c r="AQ37" s="1277" t="s">
        <v>430</v>
      </c>
      <c r="AR37" s="1280" t="s">
        <v>431</v>
      </c>
      <c r="AS37" s="1146"/>
    </row>
    <row r="38" spans="1:50" s="12" customFormat="1" ht="18.75" customHeight="1">
      <c r="A38" s="63"/>
      <c r="B38" s="63"/>
      <c r="C38" s="63"/>
      <c r="D38" s="63"/>
      <c r="E38" s="63"/>
      <c r="F38" s="63"/>
      <c r="G38" s="63"/>
      <c r="H38" s="63"/>
      <c r="I38" s="63"/>
      <c r="J38" s="63"/>
      <c r="K38" s="63"/>
      <c r="L38" s="299"/>
      <c r="M38" s="497"/>
      <c r="N38" s="497"/>
      <c r="O38" s="497"/>
      <c r="P38" s="34"/>
      <c r="Q38" s="29"/>
      <c r="R38" s="29"/>
      <c r="S38" s="1273"/>
      <c r="T38" s="1224"/>
      <c r="U38" s="595"/>
      <c r="V38" s="1146" t="s">
        <v>531</v>
      </c>
      <c r="W38" s="1220" t="s">
        <v>532</v>
      </c>
      <c r="X38" s="1220"/>
      <c r="Y38" s="1220"/>
      <c r="Z38" s="1220" t="s">
        <v>533</v>
      </c>
      <c r="AA38" s="1220"/>
      <c r="AB38" s="1220"/>
      <c r="AC38" s="1210" t="s">
        <v>435</v>
      </c>
      <c r="AD38" s="1305"/>
      <c r="AE38" s="1211"/>
      <c r="AF38" s="1278"/>
      <c r="AG38" s="1146" t="s">
        <v>531</v>
      </c>
      <c r="AH38" s="1220" t="s">
        <v>532</v>
      </c>
      <c r="AI38" s="1220"/>
      <c r="AJ38" s="1220"/>
      <c r="AK38" s="1220" t="s">
        <v>533</v>
      </c>
      <c r="AL38" s="1220"/>
      <c r="AM38" s="1220"/>
      <c r="AN38" s="1210" t="s">
        <v>435</v>
      </c>
      <c r="AO38" s="1305"/>
      <c r="AP38" s="1211"/>
      <c r="AQ38" s="1278"/>
      <c r="AR38" s="1281"/>
      <c r="AS38" s="1146"/>
      <c r="AT38" s="68"/>
      <c r="AU38" s="68"/>
      <c r="AV38" s="68"/>
      <c r="AW38" s="68"/>
      <c r="AX38" s="68"/>
    </row>
    <row r="39" spans="1:50" ht="18.75" customHeight="1">
      <c r="Q39" s="29"/>
      <c r="R39" s="29"/>
      <c r="S39" s="1273"/>
      <c r="T39" s="1224"/>
      <c r="U39" s="595"/>
      <c r="V39" s="1146"/>
      <c r="W39" s="1220" t="s">
        <v>534</v>
      </c>
      <c r="X39" s="1220" t="s">
        <v>535</v>
      </c>
      <c r="Y39" s="1220"/>
      <c r="Z39" s="1220" t="s">
        <v>536</v>
      </c>
      <c r="AA39" s="1220" t="s">
        <v>535</v>
      </c>
      <c r="AB39" s="1220"/>
      <c r="AC39" s="1215"/>
      <c r="AD39" s="1306"/>
      <c r="AE39" s="1216"/>
      <c r="AF39" s="1278"/>
      <c r="AG39" s="1146"/>
      <c r="AH39" s="1220" t="s">
        <v>534</v>
      </c>
      <c r="AI39" s="1220" t="s">
        <v>535</v>
      </c>
      <c r="AJ39" s="1220"/>
      <c r="AK39" s="1220" t="s">
        <v>536</v>
      </c>
      <c r="AL39" s="1220" t="s">
        <v>535</v>
      </c>
      <c r="AM39" s="1220"/>
      <c r="AN39" s="1215"/>
      <c r="AO39" s="1306"/>
      <c r="AP39" s="1216"/>
      <c r="AQ39" s="1278"/>
      <c r="AR39" s="1281"/>
      <c r="AS39" s="1146"/>
    </row>
    <row r="40" spans="1:50" ht="59.25" customHeight="1">
      <c r="A40" s="81"/>
      <c r="B40" s="81" t="s">
        <v>136</v>
      </c>
      <c r="C40" s="81" t="s">
        <v>137</v>
      </c>
      <c r="D40" s="81" t="s">
        <v>138</v>
      </c>
      <c r="E40" s="760" t="s">
        <v>436</v>
      </c>
      <c r="F40" s="760" t="s">
        <v>437</v>
      </c>
      <c r="G40" s="760" t="s">
        <v>438</v>
      </c>
      <c r="H40" s="760"/>
      <c r="I40" s="760" t="s">
        <v>489</v>
      </c>
      <c r="J40" s="760" t="s">
        <v>441</v>
      </c>
      <c r="K40" s="760" t="s">
        <v>490</v>
      </c>
      <c r="L40" s="760" t="s">
        <v>417</v>
      </c>
      <c r="Q40" s="29"/>
      <c r="R40" s="29"/>
      <c r="S40" s="1273"/>
      <c r="T40" s="1224"/>
      <c r="U40" s="171"/>
      <c r="V40" s="1146"/>
      <c r="W40" s="1220"/>
      <c r="X40" s="266" t="s">
        <v>537</v>
      </c>
      <c r="Y40" s="266" t="s">
        <v>538</v>
      </c>
      <c r="Z40" s="1220"/>
      <c r="AA40" s="266" t="s">
        <v>539</v>
      </c>
      <c r="AB40" s="266" t="s">
        <v>540</v>
      </c>
      <c r="AC40" s="40" t="s">
        <v>445</v>
      </c>
      <c r="AD40" s="1233" t="s">
        <v>446</v>
      </c>
      <c r="AE40" s="1235"/>
      <c r="AF40" s="1279"/>
      <c r="AG40" s="1146"/>
      <c r="AH40" s="1220"/>
      <c r="AI40" s="266" t="s">
        <v>537</v>
      </c>
      <c r="AJ40" s="266" t="s">
        <v>538</v>
      </c>
      <c r="AK40" s="1220"/>
      <c r="AL40" s="266" t="s">
        <v>539</v>
      </c>
      <c r="AM40" s="266" t="s">
        <v>540</v>
      </c>
      <c r="AN40" s="40" t="s">
        <v>445</v>
      </c>
      <c r="AO40" s="1233" t="s">
        <v>446</v>
      </c>
      <c r="AP40" s="1235"/>
      <c r="AQ40" s="1279"/>
      <c r="AR40" s="1282"/>
      <c r="AS40" s="1146"/>
    </row>
    <row r="41" spans="1:50" s="201" customFormat="1" ht="11.25" hidden="1" customHeight="1">
      <c r="A41" s="81"/>
      <c r="B41" s="81"/>
      <c r="C41" s="81"/>
      <c r="D41" s="81"/>
      <c r="E41" s="81"/>
      <c r="F41" s="81"/>
      <c r="G41" s="81"/>
      <c r="H41" s="81"/>
      <c r="I41" s="81"/>
      <c r="J41" s="81"/>
      <c r="K41" s="81"/>
      <c r="L41" s="760"/>
      <c r="M41" s="497"/>
      <c r="N41" s="497"/>
      <c r="O41" s="497"/>
      <c r="P41" s="711"/>
      <c r="Q41" s="712"/>
      <c r="R41" s="714">
        <v>1</v>
      </c>
      <c r="S41" s="731" t="s">
        <v>105</v>
      </c>
      <c r="T41" s="715" t="s">
        <v>106</v>
      </c>
      <c r="U41" s="710" t="str">
        <f ca="1">OFFSET(U41,0,-1)</f>
        <v>2</v>
      </c>
      <c r="V41" s="716">
        <f ca="1">OFFSET(V41,0,-1)+1</f>
        <v>3</v>
      </c>
      <c r="W41" s="716"/>
      <c r="X41" s="716"/>
      <c r="Y41" s="716"/>
      <c r="Z41" s="716"/>
      <c r="AA41" s="716"/>
      <c r="AB41" s="716">
        <f ca="1">OFFSET(AB41,0,-1)+1</f>
        <v>1</v>
      </c>
      <c r="AC41" s="716">
        <f ca="1">OFFSET(AC41,0,-1)+1</f>
        <v>2</v>
      </c>
      <c r="AD41" s="1272">
        <f ca="1">OFFSET(AD41,0,-1)+1</f>
        <v>3</v>
      </c>
      <c r="AE41" s="1272"/>
      <c r="AF41" s="716">
        <f ca="1">OFFSET(AF41,0,-2)+1</f>
        <v>4</v>
      </c>
      <c r="AG41" s="716">
        <f ca="1">OFFSET(AG41,0,-1)+1</f>
        <v>5</v>
      </c>
      <c r="AH41" s="716"/>
      <c r="AI41" s="716"/>
      <c r="AJ41" s="716"/>
      <c r="AK41" s="716"/>
      <c r="AL41" s="716"/>
      <c r="AM41" s="716">
        <f ca="1">OFFSET(AM41,0,-1)+1</f>
        <v>1</v>
      </c>
      <c r="AN41" s="716">
        <f ca="1">OFFSET(AN41,0,-1)+1</f>
        <v>2</v>
      </c>
      <c r="AO41" s="1272">
        <f ca="1">OFFSET(AO41,0,-1)+1</f>
        <v>3</v>
      </c>
      <c r="AP41" s="1272"/>
      <c r="AQ41" s="716">
        <f ca="1">OFFSET(AQ41,0,-2)+1</f>
        <v>4</v>
      </c>
      <c r="AR41" s="710">
        <f ca="1">OFFSET(AR41,0,-1)</f>
        <v>4</v>
      </c>
      <c r="AS41" s="716">
        <f ca="1">OFFSET(AS41,0,-1)+1</f>
        <v>5</v>
      </c>
      <c r="AT41" s="68"/>
      <c r="AU41" s="68"/>
      <c r="AV41" s="68"/>
      <c r="AW41" s="68"/>
      <c r="AX41" s="68"/>
    </row>
    <row r="42" spans="1:50" ht="23.25" customHeight="1">
      <c r="A42" s="759" t="s">
        <v>255</v>
      </c>
      <c r="B42" s="759"/>
      <c r="C42" s="759"/>
      <c r="D42" s="759"/>
      <c r="E42" s="1265">
        <v>1</v>
      </c>
      <c r="F42" s="759"/>
      <c r="G42" s="759"/>
      <c r="H42" s="759"/>
      <c r="I42" s="759"/>
      <c r="J42" s="759"/>
      <c r="K42" s="759"/>
      <c r="L42" s="760"/>
      <c r="M42" s="417"/>
      <c r="N42" s="417"/>
      <c r="O42" s="417"/>
      <c r="Q42" s="35"/>
      <c r="R42" s="205"/>
      <c r="S42" s="698">
        <f>INDEX(PT_DIFFERENTIATION_NUM_NTAR,MATCH(A42,PT_DIFFERENTIATION_NTAR_ID,0))</f>
        <v>0</v>
      </c>
      <c r="T42" s="67" t="s">
        <v>124</v>
      </c>
      <c r="U42" s="169"/>
      <c r="V42" s="1251"/>
      <c r="W42" s="1252"/>
      <c r="X42" s="1252"/>
      <c r="Y42" s="1252"/>
      <c r="Z42" s="1252"/>
      <c r="AA42" s="1252"/>
      <c r="AB42" s="1252"/>
      <c r="AC42" s="1252"/>
      <c r="AD42" s="1252"/>
      <c r="AE42" s="1252"/>
      <c r="AF42" s="1253"/>
      <c r="AG42" s="1251" t="str">
        <f>INDEX(PT_DIFFERENTIATION_NTAR,MATCH(A42,PT_DIFFERENTIATION_NTAR_ID,0))</f>
        <v/>
      </c>
      <c r="AH42" s="1252"/>
      <c r="AI42" s="1252"/>
      <c r="AJ42" s="1252"/>
      <c r="AK42" s="1252"/>
      <c r="AL42" s="1252"/>
      <c r="AM42" s="1252"/>
      <c r="AN42" s="1252"/>
      <c r="AO42" s="1252"/>
      <c r="AP42" s="1252"/>
      <c r="AQ42" s="1252"/>
      <c r="AR42" s="1253"/>
      <c r="AS42"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row>
    <row r="43" spans="1:50" ht="23.25" customHeight="1">
      <c r="A43" s="759" t="s">
        <v>255</v>
      </c>
      <c r="B43" s="759" t="s">
        <v>256</v>
      </c>
      <c r="C43" s="759"/>
      <c r="D43" s="759"/>
      <c r="E43" s="1266"/>
      <c r="F43" s="1265">
        <v>1</v>
      </c>
      <c r="G43" s="759"/>
      <c r="H43" s="759"/>
      <c r="I43" s="759"/>
      <c r="J43" s="759"/>
      <c r="K43" s="759"/>
      <c r="L43" s="760"/>
      <c r="M43" s="417"/>
      <c r="N43" s="417"/>
      <c r="O43" s="417"/>
      <c r="P43" s="59"/>
      <c r="Q43" s="202"/>
      <c r="R43" s="203"/>
      <c r="S43" s="698" t="str">
        <f>INDEX(PT_DIFFERENTIATION_NUM_TER,MATCH(B43,PT_DIFFERENTIATION_TER_ID,0))</f>
        <v>.</v>
      </c>
      <c r="T43" s="175" t="s">
        <v>396</v>
      </c>
      <c r="U43" s="169"/>
      <c r="V43" s="1251"/>
      <c r="W43" s="1252"/>
      <c r="X43" s="1252"/>
      <c r="Y43" s="1252"/>
      <c r="Z43" s="1252"/>
      <c r="AA43" s="1252"/>
      <c r="AB43" s="1252"/>
      <c r="AC43" s="1252"/>
      <c r="AD43" s="1252"/>
      <c r="AE43" s="1252"/>
      <c r="AF43" s="1253"/>
      <c r="AG43" s="1251" t="str">
        <f>INDEX(PT_DIFFERENTIATION_TER,MATCH(B43,PT_DIFFERENTIATION_TER_ID,0))</f>
        <v/>
      </c>
      <c r="AH43" s="1252"/>
      <c r="AI43" s="1252"/>
      <c r="AJ43" s="1252"/>
      <c r="AK43" s="1252"/>
      <c r="AL43" s="1252"/>
      <c r="AM43" s="1252"/>
      <c r="AN43" s="1252"/>
      <c r="AO43" s="1252"/>
      <c r="AP43" s="1252"/>
      <c r="AQ43" s="1252"/>
      <c r="AR43" s="1253"/>
      <c r="AS43" s="718" t="s">
        <v>397</v>
      </c>
      <c r="AU43" s="69"/>
      <c r="AV43" s="69" t="str">
        <f t="shared" si="1"/>
        <v>Территория действия тарифа</v>
      </c>
      <c r="AW43" s="69"/>
      <c r="AX43" s="69"/>
    </row>
    <row r="44" spans="1:50" ht="23.25" customHeight="1">
      <c r="A44" s="759" t="s">
        <v>255</v>
      </c>
      <c r="B44" s="759" t="s">
        <v>256</v>
      </c>
      <c r="C44" s="759" t="s">
        <v>257</v>
      </c>
      <c r="D44" s="759"/>
      <c r="E44" s="1266"/>
      <c r="F44" s="1266"/>
      <c r="G44" s="1265">
        <v>1</v>
      </c>
      <c r="H44" s="759"/>
      <c r="I44" s="759"/>
      <c r="J44" s="759"/>
      <c r="K44" s="759"/>
      <c r="L44" s="760"/>
      <c r="M44" s="417"/>
      <c r="N44" s="417"/>
      <c r="O44" s="417"/>
      <c r="P44" s="204"/>
      <c r="Q44" s="202"/>
      <c r="R44" s="203"/>
      <c r="S44" s="698" t="str">
        <f>INDEX(PT_DIFFERENTIATION_NUM_CS,MATCH(C44,PT_DIFFERENTIATION_CS_ID,0))</f>
        <v>..</v>
      </c>
      <c r="T44" s="176" t="s">
        <v>529</v>
      </c>
      <c r="U44" s="169"/>
      <c r="V44" s="1251"/>
      <c r="W44" s="1252"/>
      <c r="X44" s="1252"/>
      <c r="Y44" s="1252"/>
      <c r="Z44" s="1252"/>
      <c r="AA44" s="1252"/>
      <c r="AB44" s="1252"/>
      <c r="AC44" s="1252"/>
      <c r="AD44" s="1252"/>
      <c r="AE44" s="1252"/>
      <c r="AF44" s="1253"/>
      <c r="AG44" s="1251" t="str">
        <f>INDEX(PT_DIFFERENTIATION_CS,MATCH(C44,PT_DIFFERENTIATION_CS_ID,0))</f>
        <v/>
      </c>
      <c r="AH44" s="1252"/>
      <c r="AI44" s="1252"/>
      <c r="AJ44" s="1252"/>
      <c r="AK44" s="1252"/>
      <c r="AL44" s="1252"/>
      <c r="AM44" s="1252"/>
      <c r="AN44" s="1252"/>
      <c r="AO44" s="1252"/>
      <c r="AP44" s="1252"/>
      <c r="AQ44" s="1252"/>
      <c r="AR44" s="1253"/>
      <c r="AS44" s="718" t="s">
        <v>530</v>
      </c>
      <c r="AU44" s="69"/>
      <c r="AV44" s="69" t="str">
        <f t="shared" si="1"/>
        <v>Наименование централизованной системы горячего водоснабжения</v>
      </c>
      <c r="AW44" s="69"/>
      <c r="AX44" s="69"/>
    </row>
    <row r="45" spans="1:50" ht="23.25" customHeight="1">
      <c r="A45" s="759" t="s">
        <v>255</v>
      </c>
      <c r="B45" s="759" t="s">
        <v>256</v>
      </c>
      <c r="C45" s="759" t="s">
        <v>257</v>
      </c>
      <c r="D45" s="759" t="s">
        <v>542</v>
      </c>
      <c r="E45" s="1266"/>
      <c r="F45" s="1266"/>
      <c r="G45" s="1266"/>
      <c r="H45" s="1266"/>
      <c r="I45" s="1263" t="str">
        <f>S44&amp;".1"</f>
        <v>...1</v>
      </c>
      <c r="J45" s="759"/>
      <c r="K45" s="759"/>
      <c r="L45" s="760"/>
      <c r="P45" s="1264">
        <v>1</v>
      </c>
      <c r="Q45" s="120"/>
      <c r="R45" s="206"/>
      <c r="S45" s="698" t="str">
        <f>$I45</f>
        <v>...1</v>
      </c>
      <c r="T45" s="162" t="s">
        <v>482</v>
      </c>
      <c r="U45" s="169"/>
      <c r="V45" s="1331"/>
      <c r="W45" s="1332"/>
      <c r="X45" s="1332"/>
      <c r="Y45" s="1332"/>
      <c r="Z45" s="1332"/>
      <c r="AA45" s="1332"/>
      <c r="AB45" s="1332"/>
      <c r="AC45" s="1332"/>
      <c r="AD45" s="1332"/>
      <c r="AE45" s="1332"/>
      <c r="AF45" s="1333"/>
      <c r="AG45" s="1334"/>
      <c r="AH45" s="1335"/>
      <c r="AI45" s="1335"/>
      <c r="AJ45" s="1335"/>
      <c r="AK45" s="1335"/>
      <c r="AL45" s="1335"/>
      <c r="AM45" s="1335"/>
      <c r="AN45" s="1335"/>
      <c r="AO45" s="1335"/>
      <c r="AP45" s="1335"/>
      <c r="AQ45" s="1335"/>
      <c r="AR45" s="1336"/>
      <c r="AS45" s="718" t="s">
        <v>483</v>
      </c>
      <c r="AU45" s="69"/>
      <c r="AV45" s="69" t="str">
        <f t="shared" si="1"/>
        <v>Наименование признака дифференциации</v>
      </c>
      <c r="AW45" s="69"/>
      <c r="AX45" s="69"/>
    </row>
    <row r="46" spans="1:50" ht="23.25" customHeight="1">
      <c r="A46" s="759" t="s">
        <v>255</v>
      </c>
      <c r="B46" s="759" t="s">
        <v>256</v>
      </c>
      <c r="C46" s="759" t="s">
        <v>257</v>
      </c>
      <c r="D46" s="759" t="s">
        <v>542</v>
      </c>
      <c r="E46" s="1266"/>
      <c r="F46" s="1266"/>
      <c r="G46" s="1266"/>
      <c r="H46" s="1266"/>
      <c r="I46" s="1286"/>
      <c r="J46" s="1263" t="str">
        <f>I45&amp;".1"</f>
        <v>...1.1</v>
      </c>
      <c r="K46" s="759"/>
      <c r="L46" s="760" t="s">
        <v>405</v>
      </c>
      <c r="P46" s="1264"/>
      <c r="Q46" s="1264">
        <v>1</v>
      </c>
      <c r="R46" s="207"/>
      <c r="S46" s="698" t="str">
        <f>$J46</f>
        <v>...1.1</v>
      </c>
      <c r="T46" s="163" t="s">
        <v>406</v>
      </c>
      <c r="U46" s="169"/>
      <c r="V46" s="1254"/>
      <c r="W46" s="1255"/>
      <c r="X46" s="1255"/>
      <c r="Y46" s="1255"/>
      <c r="Z46" s="1255"/>
      <c r="AA46" s="1255"/>
      <c r="AB46" s="1255"/>
      <c r="AC46" s="1255"/>
      <c r="AD46" s="1255"/>
      <c r="AE46" s="1255"/>
      <c r="AF46" s="1256"/>
      <c r="AG46" s="1254"/>
      <c r="AH46" s="1255"/>
      <c r="AI46" s="1255"/>
      <c r="AJ46" s="1255"/>
      <c r="AK46" s="1255"/>
      <c r="AL46" s="1255"/>
      <c r="AM46" s="1255"/>
      <c r="AN46" s="1255"/>
      <c r="AO46" s="1255"/>
      <c r="AP46" s="1255"/>
      <c r="AQ46" s="1255"/>
      <c r="AR46" s="1256"/>
      <c r="AS46" s="743" t="s">
        <v>484</v>
      </c>
      <c r="AU46" s="69"/>
      <c r="AV46" s="69" t="str">
        <f t="shared" si="1"/>
        <v>Группа потребителей</v>
      </c>
      <c r="AW46" s="69"/>
      <c r="AX46" s="69"/>
    </row>
    <row r="47" spans="1:50" ht="23.25" customHeight="1">
      <c r="A47" s="759" t="s">
        <v>255</v>
      </c>
      <c r="B47" s="759" t="s">
        <v>256</v>
      </c>
      <c r="C47" s="759" t="s">
        <v>257</v>
      </c>
      <c r="D47" s="759" t="s">
        <v>542</v>
      </c>
      <c r="E47" s="1266"/>
      <c r="F47" s="1266"/>
      <c r="G47" s="1266"/>
      <c r="H47" s="1266"/>
      <c r="I47" s="1286"/>
      <c r="J47" s="1286"/>
      <c r="K47" s="1263" t="str">
        <f>J46&amp;".1"</f>
        <v>...1.1.1</v>
      </c>
      <c r="L47" s="760"/>
      <c r="P47" s="1264"/>
      <c r="Q47" s="1264"/>
      <c r="R47" s="207">
        <v>1</v>
      </c>
      <c r="S47" s="698" t="str">
        <f>$K47</f>
        <v>...1.1.1</v>
      </c>
      <c r="T47" s="802"/>
      <c r="U47" s="169"/>
      <c r="V47" s="359"/>
      <c r="W47" s="359"/>
      <c r="X47" s="359"/>
      <c r="Y47" s="359"/>
      <c r="Z47" s="359"/>
      <c r="AA47" s="359"/>
      <c r="AB47" s="758"/>
      <c r="AC47" s="1270"/>
      <c r="AD47" s="1271" t="s">
        <v>62</v>
      </c>
      <c r="AE47" s="1270"/>
      <c r="AF47" s="1271" t="s">
        <v>62</v>
      </c>
      <c r="AG47" s="304"/>
      <c r="AH47" s="304"/>
      <c r="AI47" s="304"/>
      <c r="AJ47" s="304"/>
      <c r="AK47" s="304"/>
      <c r="AL47" s="304"/>
      <c r="AM47" s="717"/>
      <c r="AN47" s="1268"/>
      <c r="AO47" s="1127" t="s">
        <v>62</v>
      </c>
      <c r="AP47" s="1287"/>
      <c r="AQ47" s="1127" t="s">
        <v>52</v>
      </c>
      <c r="AR47" s="803"/>
      <c r="AS47" s="1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row>
    <row r="48" spans="1:50" ht="0" hidden="1" customHeight="1">
      <c r="A48" s="759" t="s">
        <v>255</v>
      </c>
      <c r="B48" s="759" t="s">
        <v>256</v>
      </c>
      <c r="C48" s="759" t="s">
        <v>257</v>
      </c>
      <c r="D48" s="759" t="s">
        <v>542</v>
      </c>
      <c r="E48" s="1266"/>
      <c r="F48" s="1266"/>
      <c r="G48" s="1266"/>
      <c r="H48" s="1266"/>
      <c r="I48" s="1286"/>
      <c r="J48" s="1286"/>
      <c r="K48" s="1263"/>
      <c r="L48" s="760"/>
      <c r="P48" s="1264"/>
      <c r="Q48" s="1264"/>
      <c r="R48" s="207"/>
      <c r="S48" s="65"/>
      <c r="T48" s="169"/>
      <c r="U48" s="169"/>
      <c r="V48" s="359"/>
      <c r="W48" s="359"/>
      <c r="X48" s="359"/>
      <c r="Y48" s="359"/>
      <c r="Z48" s="359"/>
      <c r="AA48" s="359"/>
      <c r="AB48" s="190" t="str">
        <f>AC47&amp;"-"&amp;AE47</f>
        <v>-</v>
      </c>
      <c r="AC48" s="1271"/>
      <c r="AD48" s="1271"/>
      <c r="AE48" s="1271"/>
      <c r="AF48" s="1271"/>
      <c r="AG48" s="189"/>
      <c r="AH48" s="189"/>
      <c r="AI48" s="189"/>
      <c r="AJ48" s="189"/>
      <c r="AK48" s="189"/>
      <c r="AL48" s="189"/>
      <c r="AM48" s="190" t="str">
        <f>AN47&amp;"-"&amp;AP47</f>
        <v>-</v>
      </c>
      <c r="AN48" s="1269"/>
      <c r="AO48" s="1127"/>
      <c r="AP48" s="1288"/>
      <c r="AQ48" s="1127"/>
      <c r="AR48" s="379"/>
      <c r="AS48" s="1330"/>
      <c r="AU48" s="69"/>
      <c r="AV48" s="69" t="str">
        <f t="shared" si="1"/>
        <v/>
      </c>
      <c r="AW48" s="69"/>
      <c r="AX48" s="69"/>
    </row>
    <row r="49" spans="1:50" ht="21" customHeight="1">
      <c r="A49" s="759" t="s">
        <v>255</v>
      </c>
      <c r="B49" s="759" t="s">
        <v>256</v>
      </c>
      <c r="C49" s="759" t="s">
        <v>257</v>
      </c>
      <c r="D49" s="759" t="s">
        <v>542</v>
      </c>
      <c r="E49" s="1266"/>
      <c r="F49" s="1266"/>
      <c r="G49" s="1266"/>
      <c r="H49" s="1266"/>
      <c r="I49" s="1286"/>
      <c r="J49" s="1263"/>
      <c r="K49" s="759"/>
      <c r="L49" s="760"/>
      <c r="P49" s="1264"/>
      <c r="Q49" s="1264"/>
      <c r="R49" s="206"/>
      <c r="S49" s="732"/>
      <c r="T49" s="164" t="s">
        <v>485</v>
      </c>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718" t="s">
        <v>486</v>
      </c>
      <c r="AU49" s="69"/>
      <c r="AV49" s="69" t="str">
        <f t="shared" si="1"/>
        <v>Добавить значение признака дифференциации</v>
      </c>
      <c r="AW49" s="69"/>
      <c r="AX49" s="69"/>
    </row>
    <row r="50" spans="1:50" ht="21" customHeight="1">
      <c r="A50" s="759" t="s">
        <v>255</v>
      </c>
      <c r="B50" s="759" t="s">
        <v>256</v>
      </c>
      <c r="C50" s="759" t="s">
        <v>257</v>
      </c>
      <c r="D50" s="759" t="s">
        <v>542</v>
      </c>
      <c r="E50" s="1266"/>
      <c r="F50" s="1266"/>
      <c r="G50" s="1266"/>
      <c r="H50" s="1266"/>
      <c r="I50" s="1263"/>
      <c r="J50" s="759"/>
      <c r="K50" s="759"/>
      <c r="L50" s="760"/>
      <c r="P50" s="1264"/>
      <c r="Q50" s="120"/>
      <c r="R50" s="206"/>
      <c r="S50" s="732"/>
      <c r="T50" s="209" t="s">
        <v>411</v>
      </c>
      <c r="U50" s="211"/>
      <c r="V50" s="211"/>
      <c r="W50" s="211"/>
      <c r="X50" s="211"/>
      <c r="Y50" s="211"/>
      <c r="Z50" s="211"/>
      <c r="AA50" s="211"/>
      <c r="AB50" s="211"/>
      <c r="AC50" s="211"/>
      <c r="AD50" s="211"/>
      <c r="AE50" s="211"/>
      <c r="AF50" s="210"/>
      <c r="AG50" s="211"/>
      <c r="AH50" s="211"/>
      <c r="AI50" s="211"/>
      <c r="AJ50" s="211"/>
      <c r="AK50" s="211"/>
      <c r="AL50" s="211"/>
      <c r="AM50" s="211"/>
      <c r="AN50" s="211"/>
      <c r="AO50" s="211"/>
      <c r="AP50" s="211"/>
      <c r="AQ50" s="210"/>
      <c r="AR50" s="211"/>
      <c r="AS50" s="804"/>
      <c r="AU50" s="69"/>
      <c r="AV50" s="69" t="str">
        <f t="shared" si="1"/>
        <v>Добавить группу потребителей</v>
      </c>
      <c r="AW50" s="69"/>
      <c r="AX50" s="69"/>
    </row>
    <row r="51" spans="1:50" ht="21" customHeight="1">
      <c r="A51" s="759" t="s">
        <v>255</v>
      </c>
      <c r="B51" s="759" t="s">
        <v>256</v>
      </c>
      <c r="C51" s="759" t="s">
        <v>257</v>
      </c>
      <c r="D51" s="759" t="s">
        <v>542</v>
      </c>
      <c r="E51" s="1266"/>
      <c r="F51" s="1266"/>
      <c r="G51" s="1266"/>
      <c r="H51" s="1265"/>
      <c r="I51" s="759"/>
      <c r="J51" s="759"/>
      <c r="K51" s="759"/>
      <c r="L51" s="760"/>
      <c r="M51" s="417"/>
      <c r="N51" s="417"/>
      <c r="O51" s="63"/>
      <c r="P51" s="35"/>
      <c r="Q51" s="214"/>
      <c r="R51" s="205"/>
      <c r="S51" s="732"/>
      <c r="T51" s="105" t="s">
        <v>487</v>
      </c>
      <c r="U51" s="211"/>
      <c r="V51" s="211"/>
      <c r="W51" s="211"/>
      <c r="X51" s="211"/>
      <c r="Y51" s="211"/>
      <c r="Z51" s="211"/>
      <c r="AA51" s="211"/>
      <c r="AB51" s="211"/>
      <c r="AC51" s="211"/>
      <c r="AD51" s="211"/>
      <c r="AE51" s="211"/>
      <c r="AF51" s="210"/>
      <c r="AG51" s="211"/>
      <c r="AH51" s="211"/>
      <c r="AI51" s="211"/>
      <c r="AJ51" s="211"/>
      <c r="AK51" s="211"/>
      <c r="AL51" s="211"/>
      <c r="AM51" s="211"/>
      <c r="AN51" s="211"/>
      <c r="AO51" s="211"/>
      <c r="AP51" s="211"/>
      <c r="AQ51" s="210"/>
      <c r="AR51" s="211"/>
      <c r="AS51" s="172"/>
      <c r="AU51" s="69"/>
      <c r="AV51" s="69" t="str">
        <f t="shared" si="1"/>
        <v>Добавить наименование признака дифференциации</v>
      </c>
      <c r="AW51" s="69"/>
      <c r="AX51" s="69"/>
    </row>
    <row r="52" spans="1:50" s="68" customFormat="1" ht="0" hidden="1" customHeight="1">
      <c r="A52" s="143" t="s">
        <v>255</v>
      </c>
      <c r="B52" s="143" t="s">
        <v>256</v>
      </c>
      <c r="C52" s="143"/>
      <c r="D52" s="143"/>
      <c r="E52" s="1266"/>
      <c r="F52" s="1265"/>
      <c r="G52" s="143"/>
      <c r="H52" s="143"/>
      <c r="I52" s="143"/>
      <c r="J52" s="143"/>
      <c r="K52" s="143"/>
      <c r="L52" s="338"/>
      <c r="M52" s="749"/>
      <c r="N52" s="749"/>
      <c r="P52" s="102"/>
      <c r="Q52" s="745"/>
      <c r="R52" s="102"/>
      <c r="S52" s="750"/>
      <c r="T52" s="752" t="s">
        <v>414</v>
      </c>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U52" s="69"/>
      <c r="AV52" s="69" t="str">
        <f t="shared" si="1"/>
        <v>Добавить централизованную систему для дифференциации</v>
      </c>
      <c r="AW52" s="69"/>
      <c r="AX52" s="69"/>
    </row>
    <row r="53" spans="1:50" s="68" customFormat="1" ht="0" hidden="1" customHeight="1">
      <c r="A53" s="143" t="s">
        <v>255</v>
      </c>
      <c r="B53" s="143"/>
      <c r="C53" s="143"/>
      <c r="D53" s="143"/>
      <c r="E53" s="1265"/>
      <c r="F53" s="143"/>
      <c r="G53" s="143"/>
      <c r="H53" s="143"/>
      <c r="I53" s="143"/>
      <c r="J53" s="143"/>
      <c r="K53" s="143"/>
      <c r="L53" s="338"/>
      <c r="M53" s="749"/>
      <c r="N53" s="749"/>
      <c r="P53" s="102"/>
      <c r="Q53" s="745"/>
      <c r="R53" s="102"/>
      <c r="S53" s="750"/>
      <c r="T53" s="752" t="s">
        <v>415</v>
      </c>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U53" s="69"/>
      <c r="AV53" s="69" t="str">
        <f t="shared" si="1"/>
        <v>Добавить территорию для дифференциации</v>
      </c>
      <c r="AW53" s="69"/>
      <c r="AX53" s="69"/>
    </row>
    <row r="54" spans="1:50" s="68" customFormat="1" ht="0" hidden="1" customHeight="1">
      <c r="A54" s="143"/>
      <c r="B54" s="143"/>
      <c r="C54" s="143"/>
      <c r="D54" s="143"/>
      <c r="E54" s="143"/>
      <c r="F54" s="143"/>
      <c r="G54" s="143"/>
      <c r="H54" s="143"/>
      <c r="I54" s="143"/>
      <c r="J54" s="143"/>
      <c r="K54" s="143"/>
      <c r="L54" s="338"/>
      <c r="M54" s="749"/>
      <c r="N54" s="749"/>
      <c r="P54" s="102"/>
      <c r="Q54" s="745"/>
      <c r="R54" s="102"/>
      <c r="S54" s="750"/>
      <c r="T54" s="752" t="s">
        <v>447</v>
      </c>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U54" s="69"/>
      <c r="AV54" s="69" t="str">
        <f t="shared" si="1"/>
        <v>Добавить наименование тарифа</v>
      </c>
      <c r="AW54" s="69"/>
      <c r="AX54" s="69"/>
    </row>
    <row r="55" spans="1:50" ht="11.25" customHeight="1">
      <c r="M55" s="63"/>
      <c r="N55" s="63"/>
      <c r="O55" s="63"/>
      <c r="P55" s="12"/>
      <c r="Q55" s="12"/>
      <c r="R55" s="12"/>
      <c r="S55" s="12"/>
      <c r="AT55" s="12"/>
      <c r="AU55" s="12"/>
      <c r="AV55" s="12"/>
      <c r="AW55" s="12"/>
      <c r="AX55" s="12"/>
    </row>
    <row r="56" spans="1:50" ht="14.25" customHeight="1">
      <c r="O56" s="63"/>
      <c r="S56" s="196"/>
      <c r="T56" s="1285"/>
      <c r="U56" s="1285"/>
      <c r="V56" s="1285"/>
      <c r="W56" s="1285"/>
      <c r="X56" s="1285"/>
      <c r="Y56" s="1285"/>
      <c r="Z56" s="1285"/>
      <c r="AA56" s="1285"/>
      <c r="AB56" s="1285"/>
      <c r="AC56" s="1285"/>
      <c r="AD56" s="1285"/>
      <c r="AE56" s="1285"/>
      <c r="AF56" s="1285"/>
      <c r="AG56" s="1285"/>
      <c r="AH56" s="1285"/>
      <c r="AI56" s="1285"/>
      <c r="AJ56" s="1285"/>
      <c r="AK56" s="1285"/>
      <c r="AL56" s="1285"/>
      <c r="AM56" s="1285"/>
      <c r="AN56" s="1285"/>
      <c r="AO56" s="1285"/>
      <c r="AP56" s="1285"/>
      <c r="AQ56" s="1285"/>
      <c r="AR56" s="1285"/>
      <c r="AS56" s="1285"/>
    </row>
    <row r="57" spans="1:50" ht="14.25" customHeight="1">
      <c r="O57" s="63"/>
    </row>
    <row r="58" spans="1:50" ht="14.25" customHeight="1">
      <c r="O58" s="63"/>
      <c r="S58" s="196"/>
      <c r="T58" s="1285"/>
      <c r="U58" s="1285"/>
      <c r="V58" s="1285"/>
      <c r="W58" s="1285"/>
      <c r="X58" s="1285"/>
      <c r="Y58" s="1285"/>
      <c r="Z58" s="1285"/>
      <c r="AA58" s="1285"/>
      <c r="AB58" s="1285"/>
      <c r="AC58" s="1285"/>
      <c r="AD58" s="1285"/>
      <c r="AE58" s="1285"/>
      <c r="AF58" s="1285"/>
      <c r="AG58" s="1285"/>
      <c r="AH58" s="1285"/>
      <c r="AI58" s="1285"/>
      <c r="AJ58" s="1285"/>
      <c r="AK58" s="1285"/>
      <c r="AL58" s="1285"/>
      <c r="AM58" s="1285"/>
      <c r="AN58" s="1285"/>
      <c r="AO58" s="1285"/>
      <c r="AP58" s="1285"/>
      <c r="AQ58" s="1285"/>
      <c r="AR58" s="1285"/>
      <c r="AS58" s="1285"/>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C95CB-B5F4-95CD-930C-D096F8845E3B}">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299" hidden="1" customWidth="1"/>
    <col min="13" max="14" width="12.28515625" style="497" hidden="1" customWidth="1"/>
    <col min="15" max="15" width="23.42578125" style="497" hidden="1" customWidth="1"/>
    <col min="16" max="16" width="3.7109375" style="497" hidden="1" customWidth="1"/>
    <col min="17" max="17" width="3.7109375" style="762" hidden="1" customWidth="1"/>
    <col min="18" max="18" width="3.7109375" style="30" customWidth="1"/>
    <col min="19" max="19" width="12.7109375" style="334" customWidth="1"/>
    <col min="20" max="20" width="32" style="12" customWidth="1"/>
    <col min="21" max="21" width="0.140625" style="12" customWidth="1"/>
    <col min="22" max="25" width="21.7109375" style="12" hidden="1" customWidth="1"/>
    <col min="26" max="26" width="11.7109375" style="12" hidden="1" customWidth="1"/>
    <col min="27" max="27" width="3.7109375" style="12" hidden="1" customWidth="1"/>
    <col min="28" max="28" width="11.7109375" style="12" hidden="1" customWidth="1"/>
    <col min="29" max="29" width="8.5703125" style="12" hidden="1" customWidth="1"/>
    <col min="30" max="32" width="3.7109375" style="12" customWidth="1"/>
    <col min="33" max="33" width="24.7109375" style="12" customWidth="1"/>
    <col min="34" max="36" width="3.7109375" style="12" customWidth="1"/>
    <col min="37" max="37" width="24.7109375" style="12" customWidth="1"/>
    <col min="38" max="40" width="3.7109375" style="12" customWidth="1"/>
    <col min="41" max="41" width="18.85546875" style="12" customWidth="1"/>
    <col min="42" max="44" width="3.7109375" style="12" customWidth="1"/>
    <col min="45" max="45" width="18.85546875" style="12" customWidth="1"/>
    <col min="46" max="49" width="21.7109375" style="12" customWidth="1"/>
    <col min="50" max="50" width="11.7109375" style="12" customWidth="1"/>
    <col min="51" max="51" width="3.7109375" style="12" customWidth="1"/>
    <col min="52" max="52" width="11.7109375" style="12" customWidth="1"/>
    <col min="53" max="53" width="8.5703125" style="12" hidden="1" customWidth="1"/>
    <col min="54" max="54" width="4.7109375" style="12" customWidth="1"/>
    <col min="55" max="55" width="115.7109375" style="12" customWidth="1"/>
    <col min="56" max="57" width="10.5703125" style="68"/>
    <col min="58" max="58" width="11.140625" style="68" customWidth="1"/>
    <col min="59" max="60" width="10.5703125" style="68"/>
  </cols>
  <sheetData>
    <row r="1" spans="1:60" ht="14.25" hidden="1" customHeight="1"/>
    <row r="2" spans="1:60" ht="21" hidden="1" customHeight="1">
      <c r="A2" s="759"/>
      <c r="B2" s="759"/>
      <c r="C2" s="759"/>
      <c r="D2" s="759"/>
      <c r="E2" s="1265">
        <v>1</v>
      </c>
      <c r="F2" s="759"/>
      <c r="G2" s="759"/>
      <c r="H2" s="759"/>
      <c r="I2" s="759"/>
      <c r="J2" s="759"/>
      <c r="K2" s="759"/>
      <c r="L2" s="760"/>
      <c r="M2" s="417"/>
      <c r="N2" s="417"/>
      <c r="O2" s="417"/>
      <c r="Q2" s="62"/>
      <c r="R2" s="205"/>
      <c r="S2" s="698" t="e">
        <f>INDEX(PT_DIFFERENTIATION_NUM_NTAR,MATCH(A2,PT_DIFFERENTIATION_NTAR_ID,0))</f>
        <v>#N/A</v>
      </c>
      <c r="T2" s="67" t="s">
        <v>124</v>
      </c>
      <c r="U2" s="169"/>
      <c r="V2" s="1252"/>
      <c r="W2" s="1252"/>
      <c r="X2" s="1252"/>
      <c r="Y2" s="1252"/>
      <c r="Z2" s="1252"/>
      <c r="AA2" s="1252"/>
      <c r="AB2" s="1252"/>
      <c r="AC2" s="1253"/>
      <c r="AD2" s="1251" t="e">
        <f>INDEX(PT_DIFFERENTIATION_NTAR,MATCH(A2,PT_DIFFERENTIATION_NTAR_ID,0))</f>
        <v>#N/A</v>
      </c>
      <c r="AE2" s="1252"/>
      <c r="AF2" s="1252"/>
      <c r="AG2" s="1252"/>
      <c r="AH2" s="1252"/>
      <c r="AI2" s="1252"/>
      <c r="AJ2" s="1252"/>
      <c r="AK2" s="1252"/>
      <c r="AL2" s="1252"/>
      <c r="AM2" s="1252"/>
      <c r="AN2" s="1252"/>
      <c r="AO2" s="1252"/>
      <c r="AP2" s="1252"/>
      <c r="AQ2" s="1252"/>
      <c r="AR2" s="1252"/>
      <c r="AS2" s="1252"/>
      <c r="AT2" s="1252"/>
      <c r="AU2" s="1252"/>
      <c r="AV2" s="1252"/>
      <c r="AW2" s="1252"/>
      <c r="AX2" s="1252"/>
      <c r="AY2" s="1252"/>
      <c r="AZ2" s="1252"/>
      <c r="BA2" s="1252"/>
      <c r="BB2" s="1253"/>
      <c r="BC2"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row>
    <row r="3" spans="1:60" ht="21" hidden="1" customHeight="1">
      <c r="A3" s="759"/>
      <c r="B3" s="759"/>
      <c r="C3" s="759"/>
      <c r="D3" s="759"/>
      <c r="E3" s="1266"/>
      <c r="F3" s="1265">
        <v>1</v>
      </c>
      <c r="G3" s="759"/>
      <c r="H3" s="759"/>
      <c r="I3" s="759"/>
      <c r="J3" s="759"/>
      <c r="K3" s="759"/>
      <c r="L3" s="760"/>
      <c r="M3" s="417"/>
      <c r="N3" s="417"/>
      <c r="O3" s="417"/>
      <c r="P3" s="299"/>
      <c r="Q3" s="792"/>
      <c r="R3" s="203"/>
      <c r="S3" s="698" t="e">
        <f>INDEX(PT_DIFFERENTIATION_NUM_TER,MATCH(B3,PT_DIFFERENTIATION_TER_ID,0))</f>
        <v>#N/A</v>
      </c>
      <c r="T3" s="175" t="s">
        <v>396</v>
      </c>
      <c r="U3" s="169"/>
      <c r="V3" s="1252"/>
      <c r="W3" s="1252"/>
      <c r="X3" s="1252"/>
      <c r="Y3" s="1252"/>
      <c r="Z3" s="1252"/>
      <c r="AA3" s="1252"/>
      <c r="AB3" s="1252"/>
      <c r="AC3" s="1253"/>
      <c r="AD3" s="1251" t="e">
        <f>INDEX(PT_DIFFERENTIATION_TER,MATCH(B3,PT_DIFFERENTIATION_TER_ID,0))</f>
        <v>#N/A</v>
      </c>
      <c r="AE3" s="1252"/>
      <c r="AF3" s="1252"/>
      <c r="AG3" s="1252"/>
      <c r="AH3" s="1252"/>
      <c r="AI3" s="1252"/>
      <c r="AJ3" s="1252"/>
      <c r="AK3" s="1252"/>
      <c r="AL3" s="1252"/>
      <c r="AM3" s="1252"/>
      <c r="AN3" s="1252"/>
      <c r="AO3" s="1252"/>
      <c r="AP3" s="1252"/>
      <c r="AQ3" s="1252"/>
      <c r="AR3" s="1252"/>
      <c r="AS3" s="1252"/>
      <c r="AT3" s="1252"/>
      <c r="AU3" s="1252"/>
      <c r="AV3" s="1252"/>
      <c r="AW3" s="1252"/>
      <c r="AX3" s="1252"/>
      <c r="AY3" s="1252"/>
      <c r="AZ3" s="1252"/>
      <c r="BA3" s="1252"/>
      <c r="BB3" s="1253"/>
      <c r="BC3" s="718" t="s">
        <v>397</v>
      </c>
      <c r="BE3" s="69"/>
      <c r="BF3" s="69" t="str">
        <f t="shared" si="0"/>
        <v>Территория действия тарифа</v>
      </c>
      <c r="BG3" s="69"/>
      <c r="BH3" s="69"/>
    </row>
    <row r="4" spans="1:60" ht="33.75" hidden="1" customHeight="1">
      <c r="A4" s="759"/>
      <c r="B4" s="759"/>
      <c r="C4" s="759"/>
      <c r="D4" s="759"/>
      <c r="E4" s="1266"/>
      <c r="F4" s="1266"/>
      <c r="G4" s="1265">
        <v>1</v>
      </c>
      <c r="H4" s="759"/>
      <c r="I4" s="759"/>
      <c r="J4" s="759"/>
      <c r="K4" s="759"/>
      <c r="L4" s="760"/>
      <c r="M4" s="417"/>
      <c r="N4" s="417"/>
      <c r="O4" s="417"/>
      <c r="P4" s="129"/>
      <c r="Q4" s="792"/>
      <c r="R4" s="203"/>
      <c r="S4" s="698" t="e">
        <f>INDEX(PT_DIFFERENTIATION_NUM_CS,MATCH(C4,PT_DIFFERENTIATION_CS_ID,0))</f>
        <v>#N/A</v>
      </c>
      <c r="T4" s="176" t="s">
        <v>529</v>
      </c>
      <c r="U4" s="169"/>
      <c r="V4" s="1252"/>
      <c r="W4" s="1252"/>
      <c r="X4" s="1252"/>
      <c r="Y4" s="1252"/>
      <c r="Z4" s="1252"/>
      <c r="AA4" s="1252"/>
      <c r="AB4" s="1252"/>
      <c r="AC4" s="1253"/>
      <c r="AD4" s="1251" t="e">
        <f>INDEX(PT_DIFFERENTIATION_CS,MATCH(C4,PT_DIFFERENTIATION_CS_ID,0))</f>
        <v>#N/A</v>
      </c>
      <c r="AE4" s="1252"/>
      <c r="AF4" s="1252"/>
      <c r="AG4" s="1252"/>
      <c r="AH4" s="1252"/>
      <c r="AI4" s="1252"/>
      <c r="AJ4" s="1252"/>
      <c r="AK4" s="1252"/>
      <c r="AL4" s="1252"/>
      <c r="AM4" s="1252"/>
      <c r="AN4" s="1252"/>
      <c r="AO4" s="1252"/>
      <c r="AP4" s="1252"/>
      <c r="AQ4" s="1252"/>
      <c r="AR4" s="1252"/>
      <c r="AS4" s="1252"/>
      <c r="AT4" s="1252"/>
      <c r="AU4" s="1252"/>
      <c r="AV4" s="1252"/>
      <c r="AW4" s="1252"/>
      <c r="AX4" s="1252"/>
      <c r="AY4" s="1252"/>
      <c r="AZ4" s="1252"/>
      <c r="BA4" s="1252"/>
      <c r="BB4" s="1253"/>
      <c r="BC4" s="718" t="s">
        <v>530</v>
      </c>
      <c r="BE4" s="69"/>
      <c r="BF4" s="69" t="str">
        <f t="shared" si="0"/>
        <v>Наименование централизованной системы горячего водоснабжения</v>
      </c>
      <c r="BG4" s="69"/>
      <c r="BH4" s="69"/>
    </row>
    <row r="5" spans="1:60" s="68" customFormat="1" ht="14.25" hidden="1" customHeight="1">
      <c r="A5" s="143"/>
      <c r="B5" s="143"/>
      <c r="C5" s="143"/>
      <c r="D5" s="143"/>
      <c r="E5" s="1266"/>
      <c r="F5" s="1266"/>
      <c r="G5" s="1266"/>
      <c r="H5" s="1265">
        <v>1</v>
      </c>
      <c r="I5" s="143"/>
      <c r="J5" s="143"/>
      <c r="K5" s="143"/>
      <c r="L5" s="338"/>
      <c r="M5" s="291"/>
      <c r="N5" s="291"/>
      <c r="O5" s="291"/>
      <c r="P5" s="810"/>
      <c r="Q5" s="811"/>
      <c r="R5" s="207"/>
      <c r="S5" s="353"/>
      <c r="T5" s="812"/>
      <c r="U5" s="770"/>
      <c r="V5" s="1295"/>
      <c r="W5" s="1295"/>
      <c r="X5" s="1295"/>
      <c r="Y5" s="1295"/>
      <c r="Z5" s="1295"/>
      <c r="AA5" s="1295"/>
      <c r="AB5" s="1295"/>
      <c r="AC5" s="1296"/>
      <c r="AD5" s="1294"/>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6"/>
      <c r="BC5" s="771" t="s">
        <v>401</v>
      </c>
      <c r="BE5" s="69"/>
      <c r="BF5" s="69" t="str">
        <f t="shared" si="0"/>
        <v/>
      </c>
      <c r="BG5" s="69"/>
      <c r="BH5" s="69"/>
    </row>
    <row r="6" spans="1:60" s="68" customFormat="1" ht="14.25" hidden="1" customHeight="1">
      <c r="A6" s="143"/>
      <c r="B6" s="143"/>
      <c r="C6" s="143"/>
      <c r="D6" s="143"/>
      <c r="E6" s="1266"/>
      <c r="F6" s="1266"/>
      <c r="G6" s="1266"/>
      <c r="H6" s="1266"/>
      <c r="I6" s="1263" t="str">
        <f>S5&amp;".1"</f>
        <v>.1</v>
      </c>
      <c r="J6" s="143"/>
      <c r="K6" s="143"/>
      <c r="L6" s="338" t="s">
        <v>402</v>
      </c>
      <c r="M6" s="288"/>
      <c r="N6" s="288"/>
      <c r="O6" s="288"/>
      <c r="P6" s="1264">
        <v>1</v>
      </c>
      <c r="Q6" s="120"/>
      <c r="R6" s="206"/>
      <c r="S6" s="353"/>
      <c r="T6" s="769"/>
      <c r="U6" s="770"/>
      <c r="V6" s="1295"/>
      <c r="W6" s="1295"/>
      <c r="X6" s="1295"/>
      <c r="Y6" s="1295"/>
      <c r="Z6" s="1295"/>
      <c r="AA6" s="1295"/>
      <c r="AB6" s="1295"/>
      <c r="AC6" s="1296"/>
      <c r="AD6" s="1294"/>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6"/>
      <c r="BC6" s="771"/>
      <c r="BE6" s="69"/>
      <c r="BF6" s="69" t="str">
        <f t="shared" si="0"/>
        <v/>
      </c>
      <c r="BG6" s="69"/>
      <c r="BH6" s="69"/>
    </row>
    <row r="7" spans="1:60" s="68" customFormat="1" ht="14.25" hidden="1" customHeight="1">
      <c r="A7" s="143"/>
      <c r="B7" s="143"/>
      <c r="C7" s="143"/>
      <c r="D7" s="143"/>
      <c r="E7" s="1266"/>
      <c r="F7" s="1266"/>
      <c r="G7" s="1266"/>
      <c r="H7" s="1266"/>
      <c r="I7" s="1286"/>
      <c r="J7" s="1263" t="str">
        <f>S5&amp;".1"</f>
        <v>.1</v>
      </c>
      <c r="K7" s="143"/>
      <c r="L7" s="338"/>
      <c r="M7" s="288"/>
      <c r="N7" s="288"/>
      <c r="O7" s="288"/>
      <c r="P7" s="1264"/>
      <c r="Q7" s="1264">
        <v>1</v>
      </c>
      <c r="R7" s="207"/>
      <c r="S7" s="353"/>
      <c r="T7" s="784"/>
      <c r="U7" s="770"/>
      <c r="V7" s="1295"/>
      <c r="W7" s="1295"/>
      <c r="X7" s="1295"/>
      <c r="Y7" s="1295"/>
      <c r="Z7" s="1295"/>
      <c r="AA7" s="1295"/>
      <c r="AB7" s="1295"/>
      <c r="AC7" s="1296"/>
      <c r="AD7" s="1294"/>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6"/>
      <c r="BC7" s="771"/>
      <c r="BE7" s="69"/>
      <c r="BF7" s="69" t="str">
        <f t="shared" si="0"/>
        <v/>
      </c>
      <c r="BG7" s="69"/>
      <c r="BH7" s="69"/>
    </row>
    <row r="8" spans="1:60" ht="11.25" hidden="1" customHeight="1">
      <c r="A8" s="759"/>
      <c r="B8" s="759"/>
      <c r="C8" s="759"/>
      <c r="D8" s="759"/>
      <c r="E8" s="1266"/>
      <c r="F8" s="1266"/>
      <c r="G8" s="1266"/>
      <c r="H8" s="1266"/>
      <c r="I8" s="1286"/>
      <c r="J8" s="1286"/>
      <c r="K8" s="1263" t="e">
        <f>S4&amp;".1"</f>
        <v>#N/A</v>
      </c>
      <c r="L8" s="760"/>
      <c r="P8" s="1264"/>
      <c r="Q8" s="1264"/>
      <c r="R8" s="1328">
        <v>1</v>
      </c>
      <c r="S8" s="1322" t="e">
        <f>$K8</f>
        <v>#N/A</v>
      </c>
      <c r="T8" s="1341"/>
      <c r="U8" s="169"/>
      <c r="V8" s="304"/>
      <c r="W8" s="717"/>
      <c r="X8" s="304"/>
      <c r="Y8" s="717"/>
      <c r="Z8" s="933"/>
      <c r="AA8" s="295" t="s">
        <v>62</v>
      </c>
      <c r="AB8" s="933"/>
      <c r="AC8" s="295" t="s">
        <v>62</v>
      </c>
      <c r="AD8" s="1203" t="s">
        <v>62</v>
      </c>
      <c r="AE8" s="1308"/>
      <c r="AF8" s="1220">
        <v>1</v>
      </c>
      <c r="AG8" s="1345"/>
      <c r="AH8" s="1127" t="s">
        <v>62</v>
      </c>
      <c r="AI8" s="1308"/>
      <c r="AJ8" s="1220">
        <v>1</v>
      </c>
      <c r="AK8" s="1344" t="s">
        <v>18</v>
      </c>
      <c r="AL8" s="1127" t="s">
        <v>62</v>
      </c>
      <c r="AM8" s="1210"/>
      <c r="AN8" s="1220">
        <v>1</v>
      </c>
      <c r="AO8" s="1338"/>
      <c r="AP8" s="1339" t="s">
        <v>62</v>
      </c>
      <c r="AQ8" s="178"/>
      <c r="AR8" s="266">
        <v>1</v>
      </c>
      <c r="AS8" s="117" t="s">
        <v>18</v>
      </c>
      <c r="AT8" s="304"/>
      <c r="AU8" s="717"/>
      <c r="AV8" s="304"/>
      <c r="AW8" s="717"/>
      <c r="AX8" s="933"/>
      <c r="AY8" s="295" t="s">
        <v>62</v>
      </c>
      <c r="AZ8" s="933"/>
      <c r="BA8" s="295" t="s">
        <v>62</v>
      </c>
      <c r="BB8" s="756"/>
      <c r="BC8" s="1260" t="s">
        <v>500</v>
      </c>
      <c r="BE8" s="69"/>
      <c r="BF8" s="69" t="str">
        <f t="shared" si="0"/>
        <v/>
      </c>
      <c r="BG8" s="69"/>
      <c r="BH8" s="69"/>
    </row>
    <row r="9" spans="1:60" ht="11.25" hidden="1" customHeight="1">
      <c r="A9" s="759"/>
      <c r="B9" s="759"/>
      <c r="C9" s="759"/>
      <c r="D9" s="759"/>
      <c r="E9" s="1266"/>
      <c r="F9" s="1266"/>
      <c r="G9" s="1266"/>
      <c r="H9" s="1266"/>
      <c r="I9" s="1286"/>
      <c r="J9" s="1286"/>
      <c r="K9" s="1263"/>
      <c r="L9" s="760"/>
      <c r="P9" s="1264"/>
      <c r="Q9" s="1264"/>
      <c r="R9" s="1328"/>
      <c r="S9" s="1323"/>
      <c r="T9" s="1342"/>
      <c r="U9" s="169"/>
      <c r="V9" s="779"/>
      <c r="W9" s="809"/>
      <c r="X9" s="779"/>
      <c r="Y9" s="809"/>
      <c r="Z9" s="779"/>
      <c r="AA9" s="779"/>
      <c r="AB9" s="779"/>
      <c r="AC9" s="779"/>
      <c r="AD9" s="1204"/>
      <c r="AE9" s="1308"/>
      <c r="AF9" s="1220"/>
      <c r="AG9" s="1345"/>
      <c r="AH9" s="1127"/>
      <c r="AI9" s="1308"/>
      <c r="AJ9" s="1220"/>
      <c r="AK9" s="1344"/>
      <c r="AL9" s="1127"/>
      <c r="AM9" s="1215"/>
      <c r="AN9" s="1220"/>
      <c r="AO9" s="1338"/>
      <c r="AP9" s="1340"/>
      <c r="AQ9" s="182"/>
      <c r="AR9" s="53"/>
      <c r="AS9" s="53" t="s">
        <v>501</v>
      </c>
      <c r="AT9" s="779"/>
      <c r="AU9" s="809"/>
      <c r="AV9" s="779"/>
      <c r="AW9" s="809"/>
      <c r="AX9" s="779"/>
      <c r="AY9" s="779"/>
      <c r="AZ9" s="779"/>
      <c r="BA9" s="779"/>
      <c r="BB9" s="783"/>
      <c r="BC9" s="1261"/>
      <c r="BE9" s="69"/>
      <c r="BF9" s="69"/>
      <c r="BG9" s="69"/>
      <c r="BH9" s="69"/>
    </row>
    <row r="10" spans="1:60" ht="11.25" hidden="1" customHeight="1">
      <c r="A10" s="759"/>
      <c r="B10" s="759"/>
      <c r="C10" s="759"/>
      <c r="D10" s="759"/>
      <c r="E10" s="1266"/>
      <c r="F10" s="1266"/>
      <c r="G10" s="1266"/>
      <c r="H10" s="1266"/>
      <c r="I10" s="1286"/>
      <c r="J10" s="1286"/>
      <c r="K10" s="1263"/>
      <c r="L10" s="760"/>
      <c r="P10" s="1264"/>
      <c r="Q10" s="1264"/>
      <c r="R10" s="1328"/>
      <c r="S10" s="1323"/>
      <c r="T10" s="1342"/>
      <c r="U10" s="169"/>
      <c r="V10" s="779"/>
      <c r="W10" s="809"/>
      <c r="X10" s="779"/>
      <c r="Y10" s="809"/>
      <c r="Z10" s="779"/>
      <c r="AA10" s="779"/>
      <c r="AB10" s="779"/>
      <c r="AC10" s="779"/>
      <c r="AD10" s="1204"/>
      <c r="AE10" s="1308"/>
      <c r="AF10" s="1220"/>
      <c r="AG10" s="1345"/>
      <c r="AH10" s="1127"/>
      <c r="AI10" s="1308"/>
      <c r="AJ10" s="1220"/>
      <c r="AK10" s="1344"/>
      <c r="AL10" s="1127"/>
      <c r="AM10" s="182"/>
      <c r="AN10" s="813"/>
      <c r="AO10" s="813" t="s">
        <v>502</v>
      </c>
      <c r="AP10" s="53"/>
      <c r="AQ10" s="53"/>
      <c r="AR10" s="53"/>
      <c r="AS10" s="779"/>
      <c r="AT10" s="779"/>
      <c r="AU10" s="809"/>
      <c r="AV10" s="779"/>
      <c r="AW10" s="809"/>
      <c r="AX10" s="779"/>
      <c r="AY10" s="779"/>
      <c r="AZ10" s="779"/>
      <c r="BA10" s="779"/>
      <c r="BB10" s="783"/>
      <c r="BC10" s="1261"/>
      <c r="BE10" s="69"/>
      <c r="BF10" s="69"/>
      <c r="BG10" s="69"/>
      <c r="BH10" s="69"/>
    </row>
    <row r="11" spans="1:60" ht="11.25" hidden="1" customHeight="1">
      <c r="A11" s="759"/>
      <c r="B11" s="759"/>
      <c r="C11" s="759"/>
      <c r="D11" s="759"/>
      <c r="E11" s="1266"/>
      <c r="F11" s="1266"/>
      <c r="G11" s="1266"/>
      <c r="H11" s="1266"/>
      <c r="I11" s="1286"/>
      <c r="J11" s="1286"/>
      <c r="K11" s="1263"/>
      <c r="L11" s="760"/>
      <c r="P11" s="1264"/>
      <c r="Q11" s="1264"/>
      <c r="R11" s="1328"/>
      <c r="S11" s="1323"/>
      <c r="T11" s="1342"/>
      <c r="U11" s="169"/>
      <c r="V11" s="779"/>
      <c r="W11" s="809"/>
      <c r="X11" s="779"/>
      <c r="Y11" s="809"/>
      <c r="Z11" s="779"/>
      <c r="AA11" s="779"/>
      <c r="AB11" s="779"/>
      <c r="AC11" s="779"/>
      <c r="AD11" s="1204"/>
      <c r="AE11" s="1308"/>
      <c r="AF11" s="1220"/>
      <c r="AG11" s="1345"/>
      <c r="AH11" s="1127"/>
      <c r="AI11" s="167"/>
      <c r="AJ11" s="108"/>
      <c r="AK11" s="180" t="s">
        <v>503</v>
      </c>
      <c r="AL11" s="779"/>
      <c r="AM11" s="779"/>
      <c r="AN11" s="779"/>
      <c r="AO11" s="779"/>
      <c r="AP11" s="779"/>
      <c r="AQ11" s="779"/>
      <c r="AR11" s="779"/>
      <c r="AS11" s="779"/>
      <c r="AT11" s="779"/>
      <c r="AU11" s="809"/>
      <c r="AV11" s="779"/>
      <c r="AW11" s="809"/>
      <c r="AX11" s="779"/>
      <c r="AY11" s="779"/>
      <c r="AZ11" s="779"/>
      <c r="BA11" s="779"/>
      <c r="BB11" s="783"/>
      <c r="BC11" s="1261"/>
      <c r="BE11" s="69"/>
      <c r="BF11" s="69"/>
      <c r="BG11" s="69"/>
      <c r="BH11" s="69"/>
    </row>
    <row r="12" spans="1:60" ht="11.25" hidden="1" customHeight="1">
      <c r="A12" s="759"/>
      <c r="B12" s="759"/>
      <c r="C12" s="759"/>
      <c r="D12" s="759"/>
      <c r="E12" s="1266"/>
      <c r="F12" s="1266"/>
      <c r="G12" s="1266"/>
      <c r="H12" s="1266"/>
      <c r="I12" s="1286"/>
      <c r="J12" s="1286"/>
      <c r="K12" s="1263"/>
      <c r="L12" s="760"/>
      <c r="P12" s="1264"/>
      <c r="Q12" s="1264"/>
      <c r="R12" s="1328"/>
      <c r="S12" s="1324"/>
      <c r="T12" s="1343"/>
      <c r="U12" s="169"/>
      <c r="V12" s="779"/>
      <c r="W12" s="780" t="str">
        <f>Z8&amp;"-"&amp;AB8</f>
        <v>-</v>
      </c>
      <c r="X12" s="779"/>
      <c r="Y12" s="780" t="str">
        <f>AB8&amp;"-"&amp;AD8</f>
        <v>-да</v>
      </c>
      <c r="Z12" s="779"/>
      <c r="AA12" s="779"/>
      <c r="AB12" s="779"/>
      <c r="AC12" s="779"/>
      <c r="AD12" s="1132"/>
      <c r="AE12" s="179"/>
      <c r="AF12" s="181"/>
      <c r="AG12" s="53" t="s">
        <v>504</v>
      </c>
      <c r="AH12" s="779"/>
      <c r="AI12" s="779"/>
      <c r="AJ12" s="779"/>
      <c r="AK12" s="779"/>
      <c r="AL12" s="779"/>
      <c r="AM12" s="779"/>
      <c r="AN12" s="779"/>
      <c r="AO12" s="779"/>
      <c r="AP12" s="779"/>
      <c r="AQ12" s="779"/>
      <c r="AR12" s="779"/>
      <c r="AS12" s="779"/>
      <c r="AT12" s="779"/>
      <c r="AU12" s="780" t="str">
        <f>AX8&amp;"-"&amp;AZ8</f>
        <v>-</v>
      </c>
      <c r="AV12" s="779"/>
      <c r="AW12" s="780" t="str">
        <f>AZ8&amp;"-"&amp;BB8</f>
        <v>-</v>
      </c>
      <c r="AX12" s="779"/>
      <c r="AY12" s="779"/>
      <c r="AZ12" s="779"/>
      <c r="BA12" s="779"/>
      <c r="BB12" s="782" t="str">
        <f>BE8&amp;"-"&amp;BG8</f>
        <v>-</v>
      </c>
      <c r="BC12" s="1261"/>
      <c r="BE12" s="69"/>
      <c r="BF12" s="69" t="str">
        <f t="shared" ref="BF12:BF18" si="1">IF(T12="","",T12)</f>
        <v/>
      </c>
      <c r="BG12" s="69"/>
      <c r="BH12" s="69"/>
    </row>
    <row r="13" spans="1:60" ht="11.25" hidden="1" customHeight="1">
      <c r="A13" s="759"/>
      <c r="B13" s="759"/>
      <c r="C13" s="759"/>
      <c r="D13" s="759"/>
      <c r="E13" s="1266"/>
      <c r="F13" s="1266"/>
      <c r="G13" s="1266"/>
      <c r="H13" s="1266"/>
      <c r="I13" s="1286"/>
      <c r="J13" s="1263"/>
      <c r="K13" s="759"/>
      <c r="L13" s="760"/>
      <c r="P13" s="1264"/>
      <c r="Q13" s="1264"/>
      <c r="R13" s="206"/>
      <c r="S13" s="732"/>
      <c r="T13" s="164" t="s">
        <v>467</v>
      </c>
      <c r="U13" s="211"/>
      <c r="V13" s="211"/>
      <c r="W13" s="211"/>
      <c r="X13" s="211"/>
      <c r="Y13" s="211"/>
      <c r="Z13" s="211"/>
      <c r="AA13" s="211"/>
      <c r="AB13" s="211"/>
      <c r="AC13" s="211"/>
      <c r="AD13" s="817"/>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188"/>
      <c r="BC13" s="1262"/>
      <c r="BE13" s="69"/>
      <c r="BF13" s="69" t="str">
        <f t="shared" si="1"/>
        <v>Добавить строку</v>
      </c>
      <c r="BG13" s="69"/>
      <c r="BH13" s="69"/>
    </row>
    <row r="14" spans="1:60" s="68" customFormat="1" ht="14.25" hidden="1" customHeight="1">
      <c r="A14" s="143"/>
      <c r="B14" s="143"/>
      <c r="C14" s="143"/>
      <c r="D14" s="143"/>
      <c r="E14" s="1266"/>
      <c r="F14" s="1266"/>
      <c r="G14" s="1266"/>
      <c r="H14" s="1266"/>
      <c r="I14" s="1263"/>
      <c r="J14" s="143"/>
      <c r="K14" s="143"/>
      <c r="L14" s="338"/>
      <c r="M14" s="288"/>
      <c r="N14" s="288"/>
      <c r="O14" s="288"/>
      <c r="P14" s="1264"/>
      <c r="Q14" s="120"/>
      <c r="R14" s="206"/>
      <c r="S14" s="772"/>
      <c r="T14" s="773"/>
      <c r="U14" s="774"/>
      <c r="V14" s="774"/>
      <c r="W14" s="774"/>
      <c r="X14" s="774"/>
      <c r="Y14" s="774"/>
      <c r="Z14" s="774"/>
      <c r="AA14" s="774"/>
      <c r="AB14" s="774"/>
      <c r="AC14" s="774"/>
      <c r="AD14" s="774"/>
      <c r="AE14" s="774"/>
      <c r="AF14" s="774"/>
      <c r="AG14" s="774"/>
      <c r="AH14" s="774"/>
      <c r="AI14" s="774"/>
      <c r="AJ14" s="774"/>
      <c r="AK14" s="774"/>
      <c r="AL14" s="774"/>
      <c r="AM14" s="774"/>
      <c r="AN14" s="774"/>
      <c r="AO14" s="774"/>
      <c r="AP14" s="774"/>
      <c r="AQ14" s="774"/>
      <c r="AR14" s="774"/>
      <c r="AS14" s="774"/>
      <c r="AT14" s="774"/>
      <c r="AU14" s="774"/>
      <c r="AV14" s="774"/>
      <c r="AW14" s="774"/>
      <c r="AX14" s="774"/>
      <c r="AY14" s="774"/>
      <c r="AZ14" s="774"/>
      <c r="BA14" s="774"/>
      <c r="BB14" s="774"/>
      <c r="BC14" s="775"/>
      <c r="BE14" s="69"/>
      <c r="BF14" s="69" t="str">
        <f t="shared" si="1"/>
        <v/>
      </c>
      <c r="BG14" s="69"/>
      <c r="BH14" s="69"/>
    </row>
    <row r="15" spans="1:60" s="68" customFormat="1" ht="14.25" hidden="1" customHeight="1">
      <c r="A15" s="143"/>
      <c r="B15" s="143"/>
      <c r="C15" s="143"/>
      <c r="D15" s="143"/>
      <c r="E15" s="1266"/>
      <c r="F15" s="1266"/>
      <c r="G15" s="1266"/>
      <c r="H15" s="1265"/>
      <c r="I15" s="143"/>
      <c r="J15" s="143"/>
      <c r="K15" s="143"/>
      <c r="L15" s="338"/>
      <c r="M15" s="291"/>
      <c r="N15" s="291"/>
      <c r="P15" s="102"/>
      <c r="Q15" s="745"/>
      <c r="R15" s="786"/>
      <c r="S15" s="772"/>
      <c r="T15" s="773"/>
      <c r="U15" s="774"/>
      <c r="V15" s="774"/>
      <c r="W15" s="774"/>
      <c r="X15" s="774"/>
      <c r="Y15" s="774"/>
      <c r="Z15" s="774"/>
      <c r="AA15" s="774"/>
      <c r="AB15" s="774"/>
      <c r="AC15" s="774"/>
      <c r="AD15" s="774"/>
      <c r="AE15" s="774"/>
      <c r="AF15" s="774"/>
      <c r="AG15" s="774"/>
      <c r="AH15" s="774"/>
      <c r="AI15" s="774"/>
      <c r="AJ15" s="774"/>
      <c r="AK15" s="774"/>
      <c r="AL15" s="774"/>
      <c r="AM15" s="774"/>
      <c r="AN15" s="774"/>
      <c r="AO15" s="774"/>
      <c r="AP15" s="774"/>
      <c r="AQ15" s="774"/>
      <c r="AR15" s="774"/>
      <c r="AS15" s="774"/>
      <c r="AT15" s="774"/>
      <c r="AU15" s="774"/>
      <c r="AV15" s="774"/>
      <c r="AW15" s="774"/>
      <c r="AX15" s="774"/>
      <c r="AY15" s="774"/>
      <c r="AZ15" s="774"/>
      <c r="BA15" s="774"/>
      <c r="BB15" s="774"/>
      <c r="BC15" s="775"/>
      <c r="BE15" s="69"/>
      <c r="BF15" s="69" t="str">
        <f t="shared" si="1"/>
        <v/>
      </c>
      <c r="BG15" s="69"/>
      <c r="BH15" s="69"/>
    </row>
    <row r="16" spans="1:60" s="68" customFormat="1" ht="14.25" hidden="1" customHeight="1">
      <c r="A16" s="143"/>
      <c r="B16" s="143"/>
      <c r="C16" s="143"/>
      <c r="D16" s="143"/>
      <c r="E16" s="1266"/>
      <c r="F16" s="1266"/>
      <c r="G16" s="1265"/>
      <c r="H16" s="143"/>
      <c r="I16" s="143"/>
      <c r="J16" s="143"/>
      <c r="K16" s="143"/>
      <c r="L16" s="338"/>
      <c r="M16" s="291"/>
      <c r="N16" s="291"/>
      <c r="P16" s="102"/>
      <c r="Q16" s="745"/>
      <c r="R16" s="102"/>
      <c r="S16" s="750"/>
      <c r="T16" s="752"/>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E16" s="69"/>
      <c r="BF16" s="69" t="str">
        <f t="shared" si="1"/>
        <v/>
      </c>
      <c r="BG16" s="69"/>
      <c r="BH16" s="69"/>
    </row>
    <row r="17" spans="1:60" s="68" customFormat="1" ht="14.25" hidden="1" customHeight="1">
      <c r="A17" s="143"/>
      <c r="B17" s="143"/>
      <c r="C17" s="143"/>
      <c r="D17" s="143"/>
      <c r="E17" s="1266"/>
      <c r="F17" s="1265"/>
      <c r="G17" s="143"/>
      <c r="H17" s="143"/>
      <c r="I17" s="143"/>
      <c r="J17" s="143"/>
      <c r="K17" s="143"/>
      <c r="L17" s="338"/>
      <c r="M17" s="749"/>
      <c r="N17" s="749"/>
      <c r="P17" s="102"/>
      <c r="Q17" s="745"/>
      <c r="R17" s="102"/>
      <c r="S17" s="750"/>
      <c r="T17" s="752" t="s">
        <v>414</v>
      </c>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E17" s="69"/>
      <c r="BF17" s="69" t="str">
        <f t="shared" si="1"/>
        <v>Добавить централизованную систему для дифференциации</v>
      </c>
      <c r="BG17" s="69"/>
      <c r="BH17" s="69"/>
    </row>
    <row r="18" spans="1:60" s="68" customFormat="1" ht="14.25" hidden="1" customHeight="1">
      <c r="A18" s="143"/>
      <c r="B18" s="143"/>
      <c r="C18" s="143"/>
      <c r="D18" s="143"/>
      <c r="E18" s="1265"/>
      <c r="F18" s="143"/>
      <c r="G18" s="143"/>
      <c r="H18" s="143"/>
      <c r="I18" s="143"/>
      <c r="J18" s="143"/>
      <c r="K18" s="143"/>
      <c r="L18" s="338"/>
      <c r="M18" s="749"/>
      <c r="N18" s="749"/>
      <c r="P18" s="102"/>
      <c r="Q18" s="745"/>
      <c r="R18" s="102"/>
      <c r="S18" s="750"/>
      <c r="T18" s="752" t="s">
        <v>415</v>
      </c>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E18" s="69"/>
      <c r="BF18" s="69" t="str">
        <f t="shared" si="1"/>
        <v>Добавить территорию для дифференциации</v>
      </c>
      <c r="BG18" s="69"/>
      <c r="BH18" s="69"/>
    </row>
    <row r="19" spans="1:60" ht="14.25" hidden="1" customHeight="1"/>
    <row r="20" spans="1:60" ht="14.25" hidden="1" customHeight="1">
      <c r="AD20" s="311" t="s">
        <v>52</v>
      </c>
      <c r="AE20" s="814"/>
      <c r="AF20" s="311">
        <v>1</v>
      </c>
      <c r="AG20" s="815"/>
      <c r="AH20" s="311" t="s">
        <v>52</v>
      </c>
      <c r="AI20" s="814"/>
      <c r="AJ20" s="311">
        <v>1</v>
      </c>
      <c r="AK20" s="815"/>
      <c r="AL20" s="311" t="s">
        <v>52</v>
      </c>
      <c r="AM20" s="816"/>
      <c r="AN20" s="311">
        <v>1</v>
      </c>
      <c r="AO20" s="125"/>
      <c r="AP20" s="311" t="s">
        <v>52</v>
      </c>
      <c r="AQ20" s="816"/>
      <c r="AR20" s="311">
        <v>1</v>
      </c>
      <c r="AS20" s="125"/>
      <c r="AT20" s="189"/>
      <c r="AU20" s="217"/>
      <c r="AV20" s="189"/>
      <c r="AW20" s="217"/>
      <c r="AX20" s="935"/>
      <c r="AY20" s="806" t="s">
        <v>62</v>
      </c>
      <c r="AZ20" s="935"/>
      <c r="BA20" s="806" t="s">
        <v>62</v>
      </c>
    </row>
    <row r="21" spans="1:60" ht="14.25" hidden="1" customHeight="1">
      <c r="BD21" s="201"/>
      <c r="BE21" s="201"/>
      <c r="BF21" s="201"/>
      <c r="BG21" s="201"/>
      <c r="BH21" s="201"/>
    </row>
    <row r="22" spans="1:60" ht="14.25" hidden="1" customHeight="1">
      <c r="O22" s="761" t="s">
        <v>416</v>
      </c>
      <c r="Z22" s="754"/>
      <c r="AB22" s="754"/>
      <c r="AX22" s="754"/>
      <c r="AZ22" s="754"/>
      <c r="BD22" s="201"/>
      <c r="BE22" s="201"/>
      <c r="BF22" s="201"/>
      <c r="BG22" s="201"/>
      <c r="BH22" s="201"/>
    </row>
    <row r="23" spans="1:60" ht="14.25" hidden="1" customHeight="1">
      <c r="BD23" s="201"/>
      <c r="BE23" s="201"/>
      <c r="BF23" s="201"/>
      <c r="BG23" s="201"/>
      <c r="BH23" s="201"/>
    </row>
    <row r="24" spans="1:60" s="819" customFormat="1" ht="14.25" hidden="1" customHeight="1">
      <c r="M24" s="820"/>
      <c r="N24" s="820"/>
      <c r="O24" s="819" t="s">
        <v>417</v>
      </c>
      <c r="P24" s="820"/>
      <c r="Q24" s="821"/>
      <c r="R24" s="821"/>
      <c r="AA24" s="819" t="s">
        <v>419</v>
      </c>
      <c r="AC24" s="819" t="s">
        <v>420</v>
      </c>
      <c r="AD24" s="819" t="s">
        <v>468</v>
      </c>
      <c r="AH24" s="819" t="s">
        <v>468</v>
      </c>
      <c r="AK24" s="819" t="s">
        <v>505</v>
      </c>
      <c r="AL24" s="819" t="s">
        <v>468</v>
      </c>
      <c r="AP24" s="819" t="s">
        <v>468</v>
      </c>
      <c r="AY24" s="819" t="s">
        <v>419</v>
      </c>
      <c r="BA24" s="819" t="s">
        <v>420</v>
      </c>
      <c r="BD24" s="822"/>
      <c r="BE24" s="822"/>
      <c r="BF24" s="822"/>
      <c r="BG24" s="822"/>
      <c r="BH24" s="822"/>
    </row>
    <row r="25" spans="1:60" ht="14.25" hidden="1" customHeight="1">
      <c r="O25" s="760"/>
      <c r="BD25" s="201"/>
      <c r="BE25" s="201"/>
      <c r="BF25" s="201"/>
      <c r="BG25" s="201"/>
      <c r="BH25" s="201"/>
    </row>
    <row r="26" spans="1:60" ht="14.25" hidden="1" customHeight="1">
      <c r="O26" s="760"/>
      <c r="BD26" s="201"/>
      <c r="BE26" s="201"/>
      <c r="BF26" s="201"/>
      <c r="BG26" s="201"/>
      <c r="BH26" s="201"/>
    </row>
    <row r="27" spans="1:60" ht="14.25" customHeight="1">
      <c r="Q27" s="166"/>
      <c r="R27" s="29"/>
      <c r="S27" s="729"/>
      <c r="T27" s="11"/>
      <c r="U27" s="11"/>
    </row>
    <row r="28" spans="1:60" ht="14.25" customHeight="1">
      <c r="Q28" s="166"/>
      <c r="R28" s="29"/>
      <c r="S28" s="1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49"/>
      <c r="U28" s="1249"/>
      <c r="V28" s="1249"/>
      <c r="W28" s="1249"/>
      <c r="X28" s="1249"/>
      <c r="Y28" s="1249"/>
      <c r="Z28" s="1249"/>
      <c r="AA28" s="1249"/>
      <c r="AB28" s="1249"/>
      <c r="AC28" s="1249"/>
      <c r="AD28" s="1249"/>
      <c r="AE28" s="1249"/>
      <c r="AF28" s="1249"/>
      <c r="AG28" s="1249"/>
      <c r="AH28" s="1249"/>
      <c r="AI28" s="1249"/>
      <c r="AJ28" s="1249"/>
      <c r="AK28" s="1249"/>
      <c r="AL28" s="1249"/>
      <c r="AM28" s="1249"/>
      <c r="AN28" s="1249"/>
      <c r="AO28" s="1249"/>
      <c r="AP28" s="1249"/>
      <c r="AQ28" s="1249"/>
      <c r="AR28" s="1249"/>
      <c r="AS28" s="1249"/>
      <c r="AT28" s="1249"/>
      <c r="AU28" s="1249"/>
      <c r="AV28" s="1249"/>
      <c r="AW28" s="1249"/>
      <c r="AX28" s="1249"/>
      <c r="AY28" s="1249"/>
      <c r="AZ28" s="1249"/>
      <c r="BA28" s="60"/>
    </row>
    <row r="29" spans="1:60" ht="14.25" customHeight="1">
      <c r="Q29" s="166"/>
      <c r="R29" s="29"/>
      <c r="S29" s="1194" t="str">
        <f>IF(org=0,"Не определено",org)</f>
        <v>АО "ХТК"</v>
      </c>
      <c r="T29" s="1194"/>
      <c r="U29" s="1194"/>
      <c r="V29" s="1194"/>
      <c r="W29" s="1194"/>
      <c r="X29" s="1194"/>
      <c r="Y29" s="1194"/>
      <c r="Z29" s="1194"/>
      <c r="AA29" s="1194"/>
      <c r="AB29" s="1194"/>
      <c r="AC29" s="1194"/>
      <c r="AD29" s="1194"/>
      <c r="AE29" s="1194"/>
      <c r="AF29" s="1194"/>
      <c r="AG29" s="1194"/>
      <c r="AH29" s="1194"/>
      <c r="AI29" s="1194"/>
      <c r="AJ29" s="1194"/>
      <c r="AK29" s="1194"/>
      <c r="AL29" s="1194"/>
      <c r="AM29" s="1194"/>
      <c r="AN29" s="1194"/>
      <c r="AO29" s="1194"/>
      <c r="AP29" s="1194"/>
      <c r="AQ29" s="1194"/>
      <c r="AR29" s="1194"/>
      <c r="AS29" s="1194"/>
      <c r="AT29" s="1194"/>
      <c r="AU29" s="1194"/>
      <c r="AV29" s="1194"/>
      <c r="AW29" s="1194"/>
      <c r="AX29" s="1194"/>
      <c r="AY29" s="1194"/>
      <c r="AZ29" s="1194"/>
      <c r="BA29" s="60"/>
    </row>
    <row r="30" spans="1:60" ht="14.25" hidden="1" customHeight="1">
      <c r="Q30" s="166"/>
      <c r="R30" s="29"/>
      <c r="S30" s="729"/>
      <c r="T30" s="11"/>
      <c r="U30" s="11"/>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row>
    <row r="31" spans="1:60" s="36" customFormat="1" ht="25.5" hidden="1" customHeight="1">
      <c r="A31" s="81"/>
      <c r="B31" s="81"/>
      <c r="C31" s="81"/>
      <c r="D31" s="81"/>
      <c r="E31" s="81"/>
      <c r="F31" s="81"/>
      <c r="G31" s="81"/>
      <c r="H31" s="81"/>
      <c r="I31" s="81"/>
      <c r="J31" s="81"/>
      <c r="K31" s="81"/>
      <c r="L31" s="760"/>
      <c r="M31" s="81"/>
      <c r="N31" s="81"/>
      <c r="O31" s="81"/>
      <c r="P31" s="81"/>
      <c r="Q31" s="81"/>
      <c r="S31" s="1257" t="s">
        <v>37</v>
      </c>
      <c r="T31" s="1257"/>
      <c r="U31" s="763"/>
      <c r="V31" s="1258" t="str">
        <f>IF(TITLE_NAME_OR_PR_CHANGE="",IF(TITLE_NAME_OR_PR="","",TITLE_NAME_OR_PR),TITLE_NAME_OR_PR_CHANGE)</f>
        <v/>
      </c>
      <c r="W31" s="1258"/>
      <c r="X31" s="1258"/>
      <c r="Y31" s="1258"/>
      <c r="Z31" s="1258"/>
      <c r="AA31" s="1258"/>
      <c r="AB31" s="1258"/>
      <c r="AC31" s="12"/>
      <c r="AD31" s="1258" t="str">
        <f>IF(TITLE_NAME_OR_PR_CHANGE="",IF(TITLE_NAME_OR_PR="","",TITLE_NAME_OR_PR),TITLE_NAME_OR_PR_CHANGE)</f>
        <v/>
      </c>
      <c r="AE31" s="1258"/>
      <c r="AF31" s="1258"/>
      <c r="AG31" s="1258"/>
      <c r="AH31" s="1258"/>
      <c r="AI31" s="1258"/>
      <c r="AJ31" s="1258"/>
      <c r="AK31" s="1258"/>
      <c r="AL31" s="1258"/>
      <c r="AM31" s="1258"/>
      <c r="AN31" s="1258"/>
      <c r="AO31" s="1258"/>
      <c r="AP31" s="1258"/>
      <c r="AQ31" s="1258"/>
      <c r="AR31" s="1258"/>
      <c r="AS31" s="1258"/>
      <c r="AT31" s="1258"/>
      <c r="AU31" s="1258"/>
      <c r="AV31" s="1258"/>
      <c r="AW31" s="1258"/>
      <c r="AX31" s="1258"/>
      <c r="AY31" s="1258"/>
      <c r="AZ31" s="1258"/>
      <c r="BA31" s="12"/>
      <c r="BB31" s="12"/>
      <c r="BC31" s="161"/>
      <c r="BD31" s="69"/>
      <c r="BE31" s="69"/>
      <c r="BF31" s="69"/>
      <c r="BG31" s="69"/>
      <c r="BH31" s="69"/>
    </row>
    <row r="32" spans="1:60" s="36" customFormat="1" ht="18.75" hidden="1" customHeight="1">
      <c r="A32" s="81"/>
      <c r="B32" s="81"/>
      <c r="C32" s="81"/>
      <c r="D32" s="81"/>
      <c r="E32" s="81"/>
      <c r="F32" s="81"/>
      <c r="G32" s="81"/>
      <c r="H32" s="81"/>
      <c r="I32" s="81"/>
      <c r="J32" s="81"/>
      <c r="K32" s="81"/>
      <c r="L32" s="760"/>
      <c r="M32" s="81"/>
      <c r="N32" s="81"/>
      <c r="O32" s="81"/>
      <c r="P32" s="81"/>
      <c r="Q32" s="81"/>
      <c r="S32" s="1257" t="s">
        <v>422</v>
      </c>
      <c r="T32" s="1257"/>
      <c r="U32" s="763"/>
      <c r="V32" s="1267" t="str">
        <f>IF(TITLE_DATE_PR_CHANGE="",IF(TITLE_DATE_PR="","",TITLE_DATE_PR),TITLE_DATE_PR_CHANGE)</f>
        <v/>
      </c>
      <c r="W32" s="1267"/>
      <c r="X32" s="1267"/>
      <c r="Y32" s="1267"/>
      <c r="Z32" s="1267"/>
      <c r="AA32" s="1267"/>
      <c r="AB32" s="1267"/>
      <c r="AC32" s="12"/>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2"/>
      <c r="BB32" s="12"/>
      <c r="BC32" s="161"/>
      <c r="BD32" s="69"/>
      <c r="BE32" s="69"/>
      <c r="BF32" s="69"/>
      <c r="BG32" s="69"/>
      <c r="BH32" s="69"/>
    </row>
    <row r="33" spans="1:60" s="36" customFormat="1" ht="18.75" hidden="1" customHeight="1">
      <c r="A33" s="81"/>
      <c r="B33" s="81"/>
      <c r="C33" s="81"/>
      <c r="D33" s="81"/>
      <c r="E33" s="81"/>
      <c r="F33" s="81"/>
      <c r="G33" s="81"/>
      <c r="H33" s="81"/>
      <c r="I33" s="81"/>
      <c r="J33" s="81"/>
      <c r="K33" s="81"/>
      <c r="L33" s="760"/>
      <c r="M33" s="81"/>
      <c r="N33" s="81"/>
      <c r="O33" s="81"/>
      <c r="P33" s="81"/>
      <c r="Q33" s="81"/>
      <c r="S33" s="1257" t="s">
        <v>423</v>
      </c>
      <c r="T33" s="1257"/>
      <c r="U33" s="763"/>
      <c r="V33" s="1258" t="str">
        <f>IF(TITLE_NUMBER_PR_CHANGE="",IF(TITLE_NUMBER_PR="","",TITLE_NUMBER_PR),TITLE_NUMBER_PR_CHANGE)</f>
        <v/>
      </c>
      <c r="W33" s="1258"/>
      <c r="X33" s="1258"/>
      <c r="Y33" s="1258"/>
      <c r="Z33" s="1258"/>
      <c r="AA33" s="1258"/>
      <c r="AB33" s="1258"/>
      <c r="AC33" s="12"/>
      <c r="AD33" s="1258" t="str">
        <f>IF(TITLE_NUMBER_PR_CHANGE="",IF(TITLE_NUMBER_PR="","",TITLE_NUMBER_PR),TITLE_NUMBER_PR_CHANGE)</f>
        <v/>
      </c>
      <c r="AE33" s="1258"/>
      <c r="AF33" s="1258"/>
      <c r="AG33" s="1258"/>
      <c r="AH33" s="1258"/>
      <c r="AI33" s="1258"/>
      <c r="AJ33" s="1258"/>
      <c r="AK33" s="1258"/>
      <c r="AL33" s="1258"/>
      <c r="AM33" s="1258"/>
      <c r="AN33" s="1258"/>
      <c r="AO33" s="1258"/>
      <c r="AP33" s="1258"/>
      <c r="AQ33" s="1258"/>
      <c r="AR33" s="1258"/>
      <c r="AS33" s="1258"/>
      <c r="AT33" s="1258"/>
      <c r="AU33" s="1258"/>
      <c r="AV33" s="1258"/>
      <c r="AW33" s="1258"/>
      <c r="AX33" s="1258"/>
      <c r="AY33" s="1258"/>
      <c r="AZ33" s="1258"/>
      <c r="BA33" s="12"/>
      <c r="BB33" s="12"/>
      <c r="BC33" s="161"/>
      <c r="BD33" s="69"/>
      <c r="BE33" s="69"/>
      <c r="BF33" s="69"/>
      <c r="BG33" s="69"/>
      <c r="BH33" s="69"/>
    </row>
    <row r="34" spans="1:60" s="36" customFormat="1" ht="18.75" hidden="1" customHeight="1">
      <c r="A34" s="81"/>
      <c r="B34" s="81"/>
      <c r="C34" s="81"/>
      <c r="D34" s="81"/>
      <c r="E34" s="81"/>
      <c r="F34" s="81"/>
      <c r="G34" s="81"/>
      <c r="H34" s="81"/>
      <c r="I34" s="81"/>
      <c r="J34" s="81"/>
      <c r="K34" s="81"/>
      <c r="L34" s="760"/>
      <c r="M34" s="81"/>
      <c r="N34" s="81"/>
      <c r="O34" s="81"/>
      <c r="P34" s="81"/>
      <c r="Q34" s="81"/>
      <c r="S34" s="1257" t="s">
        <v>38</v>
      </c>
      <c r="T34" s="1257"/>
      <c r="U34" s="763"/>
      <c r="V34" s="1258" t="str">
        <f>IF(TITLE_IST_PUB_CHANGE="",IF(TITLE_IST_PUB="","",TITLE_IST_PUB),TITLE_IST_PUB_CHANGE)</f>
        <v/>
      </c>
      <c r="W34" s="1258"/>
      <c r="X34" s="1258"/>
      <c r="Y34" s="1258"/>
      <c r="Z34" s="1258"/>
      <c r="AA34" s="1258"/>
      <c r="AB34" s="1258"/>
      <c r="AC34" s="12"/>
      <c r="AD34" s="1258" t="str">
        <f>IF(TITLE_IST_PUB_CHANGE="",IF(TITLE_IST_PUB="","",TITLE_IST_PUB),TITLE_IST_PUB_CHANGE)</f>
        <v/>
      </c>
      <c r="AE34" s="1258"/>
      <c r="AF34" s="1258"/>
      <c r="AG34" s="1258"/>
      <c r="AH34" s="1258"/>
      <c r="AI34" s="1258"/>
      <c r="AJ34" s="1258"/>
      <c r="AK34" s="1258"/>
      <c r="AL34" s="1258"/>
      <c r="AM34" s="1258"/>
      <c r="AN34" s="1258"/>
      <c r="AO34" s="1258"/>
      <c r="AP34" s="1258"/>
      <c r="AQ34" s="1258"/>
      <c r="AR34" s="1258"/>
      <c r="AS34" s="1258"/>
      <c r="AT34" s="1258"/>
      <c r="AU34" s="1258"/>
      <c r="AV34" s="1258"/>
      <c r="AW34" s="1258"/>
      <c r="AX34" s="1258"/>
      <c r="AY34" s="1258"/>
      <c r="AZ34" s="1258"/>
      <c r="BA34" s="12"/>
      <c r="BB34" s="12"/>
      <c r="BC34" s="161"/>
      <c r="BD34" s="69"/>
      <c r="BE34" s="69"/>
      <c r="BF34" s="69"/>
      <c r="BG34" s="69"/>
      <c r="BH34" s="69"/>
    </row>
    <row r="35" spans="1:60" ht="14.25" hidden="1" customHeight="1">
      <c r="Q35" s="166"/>
      <c r="R35" s="29"/>
      <c r="S35" s="729"/>
      <c r="T35" s="11"/>
      <c r="U35" s="11"/>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row>
    <row r="36" spans="1:60" s="36" customFormat="1" ht="18.75" hidden="1" customHeight="1">
      <c r="A36" s="81"/>
      <c r="B36" s="81"/>
      <c r="C36" s="81"/>
      <c r="D36" s="81"/>
      <c r="E36" s="81"/>
      <c r="F36" s="81"/>
      <c r="G36" s="81"/>
      <c r="H36" s="81"/>
      <c r="I36" s="81"/>
      <c r="J36" s="81"/>
      <c r="K36" s="81"/>
      <c r="L36" s="760"/>
      <c r="M36" s="81"/>
      <c r="N36" s="81"/>
      <c r="O36" s="81"/>
      <c r="P36" s="81"/>
      <c r="Q36" s="81"/>
      <c r="S36" s="1257" t="s">
        <v>422</v>
      </c>
      <c r="T36" s="1257"/>
      <c r="U36" s="763"/>
      <c r="V36" s="1267" t="str">
        <f>IF(TITLE_DATE_PR_CHANGE="",IF(TITLE_DATE_PR="","",TITLE_DATE_PR),TITLE_DATE_PR_CHANGE)</f>
        <v/>
      </c>
      <c r="W36" s="1267"/>
      <c r="X36" s="1267"/>
      <c r="Y36" s="1267"/>
      <c r="Z36" s="1267"/>
      <c r="AA36" s="1267"/>
      <c r="AB36" s="1267"/>
      <c r="AC36" s="12"/>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2"/>
      <c r="BB36" s="12"/>
      <c r="BC36" s="161"/>
      <c r="BD36" s="69"/>
      <c r="BE36" s="69"/>
      <c r="BF36" s="69"/>
      <c r="BG36" s="69"/>
      <c r="BH36" s="69"/>
    </row>
    <row r="37" spans="1:60" s="36" customFormat="1" ht="18.75" hidden="1" customHeight="1">
      <c r="A37" s="81"/>
      <c r="B37" s="81"/>
      <c r="C37" s="81"/>
      <c r="D37" s="81"/>
      <c r="E37" s="81"/>
      <c r="F37" s="81"/>
      <c r="G37" s="81"/>
      <c r="H37" s="81"/>
      <c r="I37" s="81"/>
      <c r="J37" s="81"/>
      <c r="K37" s="81"/>
      <c r="L37" s="760"/>
      <c r="M37" s="81"/>
      <c r="N37" s="81"/>
      <c r="O37" s="81"/>
      <c r="P37" s="81"/>
      <c r="Q37" s="81"/>
      <c r="S37" s="1257" t="s">
        <v>423</v>
      </c>
      <c r="T37" s="1257"/>
      <c r="U37" s="763"/>
      <c r="V37" s="1258" t="str">
        <f>IF(TITLE_NUMBER_PR_CHANGE="",IF(TITLE_NUMBER_PR="","",TITLE_NUMBER_PR),TITLE_NUMBER_PR_CHANGE)</f>
        <v/>
      </c>
      <c r="W37" s="1258"/>
      <c r="X37" s="1258"/>
      <c r="Y37" s="1258"/>
      <c r="Z37" s="1258"/>
      <c r="AA37" s="1258"/>
      <c r="AB37" s="1258"/>
      <c r="AC37" s="12"/>
      <c r="AD37" s="1258" t="str">
        <f>IF(TITLE_NUMBER_PR_CHANGE="",IF(TITLE_NUMBER_PR="","",TITLE_NUMBER_PR),TITLE_NUMBER_PR_CHANGE)</f>
        <v/>
      </c>
      <c r="AE37" s="1258"/>
      <c r="AF37" s="1258"/>
      <c r="AG37" s="1258"/>
      <c r="AH37" s="1258"/>
      <c r="AI37" s="1258"/>
      <c r="AJ37" s="1258"/>
      <c r="AK37" s="1258"/>
      <c r="AL37" s="1258"/>
      <c r="AM37" s="1258"/>
      <c r="AN37" s="1258"/>
      <c r="AO37" s="1258"/>
      <c r="AP37" s="1258"/>
      <c r="AQ37" s="1258"/>
      <c r="AR37" s="1258"/>
      <c r="AS37" s="1258"/>
      <c r="AT37" s="1258"/>
      <c r="AU37" s="1258"/>
      <c r="AV37" s="1258"/>
      <c r="AW37" s="1258"/>
      <c r="AX37" s="1258"/>
      <c r="AY37" s="1258"/>
      <c r="AZ37" s="1258"/>
      <c r="BA37" s="12"/>
      <c r="BB37" s="12"/>
      <c r="BC37" s="161"/>
      <c r="BD37" s="69"/>
      <c r="BE37" s="69"/>
      <c r="BF37" s="69"/>
      <c r="BG37" s="69"/>
      <c r="BH37" s="69"/>
    </row>
    <row r="38" spans="1:60" s="36" customFormat="1" ht="0" hidden="1" customHeight="1">
      <c r="A38" s="81"/>
      <c r="B38" s="81"/>
      <c r="C38" s="81"/>
      <c r="D38" s="81"/>
      <c r="E38" s="81"/>
      <c r="F38" s="81"/>
      <c r="G38" s="81"/>
      <c r="H38" s="81"/>
      <c r="I38" s="81"/>
      <c r="J38" s="81"/>
      <c r="K38" s="81"/>
      <c r="L38" s="760"/>
      <c r="M38" s="81"/>
      <c r="N38" s="81"/>
      <c r="O38" s="81"/>
      <c r="P38" s="81"/>
      <c r="Q38" s="81"/>
      <c r="S38" s="12"/>
      <c r="T38" s="12"/>
      <c r="U38" s="77"/>
      <c r="V38" s="12"/>
      <c r="W38" s="12"/>
      <c r="X38" s="12"/>
      <c r="Y38" s="12"/>
      <c r="Z38" s="12"/>
      <c r="AA38" s="12"/>
      <c r="AB38" s="12"/>
      <c r="AC38" s="68" t="s">
        <v>426</v>
      </c>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68" t="s">
        <v>426</v>
      </c>
      <c r="BD38" s="69"/>
      <c r="BE38" s="69"/>
      <c r="BF38" s="69"/>
      <c r="BG38" s="69"/>
      <c r="BH38" s="69"/>
    </row>
    <row r="39" spans="1:60" ht="14.25" customHeight="1">
      <c r="Q39" s="166"/>
      <c r="R39" s="29"/>
      <c r="S39" s="729"/>
      <c r="T39" s="11"/>
      <c r="U39" s="70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U39" s="1259"/>
      <c r="AV39" s="1259"/>
      <c r="AW39" s="1259"/>
      <c r="AX39" s="1259"/>
      <c r="AY39" s="1259"/>
      <c r="AZ39" s="1259"/>
      <c r="BA39" s="1259"/>
    </row>
    <row r="40" spans="1:60" ht="14.25" customHeight="1">
      <c r="Q40" s="166"/>
      <c r="R40" s="29"/>
      <c r="S40" s="1146" t="s">
        <v>299</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300</v>
      </c>
    </row>
    <row r="41" spans="1:60" ht="14.25" customHeight="1">
      <c r="Q41" s="166"/>
      <c r="R41" s="29"/>
      <c r="S41" s="1273" t="s">
        <v>84</v>
      </c>
      <c r="T41" s="1224" t="s">
        <v>506</v>
      </c>
      <c r="U41" s="170"/>
      <c r="V41" s="1274" t="s">
        <v>428</v>
      </c>
      <c r="W41" s="1275"/>
      <c r="X41" s="1275"/>
      <c r="Y41" s="1275"/>
      <c r="Z41" s="1275"/>
      <c r="AA41" s="1275"/>
      <c r="AB41" s="1276"/>
      <c r="AC41" s="1277" t="s">
        <v>429</v>
      </c>
      <c r="AD41" s="1310" t="s">
        <v>507</v>
      </c>
      <c r="AE41" s="1291"/>
      <c r="AF41" s="1291"/>
      <c r="AG41" s="1311"/>
      <c r="AH41" s="1310" t="s">
        <v>508</v>
      </c>
      <c r="AI41" s="1291"/>
      <c r="AJ41" s="1291"/>
      <c r="AK41" s="1311"/>
      <c r="AL41" s="1310" t="s">
        <v>509</v>
      </c>
      <c r="AM41" s="1291"/>
      <c r="AN41" s="1291"/>
      <c r="AO41" s="1311"/>
      <c r="AP41" s="1310" t="s">
        <v>510</v>
      </c>
      <c r="AQ41" s="1291"/>
      <c r="AR41" s="1291"/>
      <c r="AS41" s="1311"/>
      <c r="AT41" s="1274" t="s">
        <v>428</v>
      </c>
      <c r="AU41" s="1275"/>
      <c r="AV41" s="1275"/>
      <c r="AW41" s="1275"/>
      <c r="AX41" s="1275"/>
      <c r="AY41" s="1275"/>
      <c r="AZ41" s="1276"/>
      <c r="BA41" s="1277" t="s">
        <v>429</v>
      </c>
      <c r="BB41" s="1280" t="s">
        <v>431</v>
      </c>
      <c r="BC41" s="1146"/>
    </row>
    <row r="42" spans="1:60" ht="33.75" customHeight="1">
      <c r="Q42" s="166"/>
      <c r="R42" s="29"/>
      <c r="S42" s="1273"/>
      <c r="T42" s="1224"/>
      <c r="U42" s="595"/>
      <c r="V42" s="1210" t="s">
        <v>511</v>
      </c>
      <c r="W42" s="1211"/>
      <c r="X42" s="1210" t="s">
        <v>512</v>
      </c>
      <c r="Y42" s="1211"/>
      <c r="Z42" s="1210" t="s">
        <v>513</v>
      </c>
      <c r="AA42" s="1305"/>
      <c r="AB42" s="1211"/>
      <c r="AC42" s="1278"/>
      <c r="AD42" s="1312"/>
      <c r="AE42" s="1313"/>
      <c r="AF42" s="1313"/>
      <c r="AG42" s="1314"/>
      <c r="AH42" s="1312"/>
      <c r="AI42" s="1313"/>
      <c r="AJ42" s="1313"/>
      <c r="AK42" s="1314"/>
      <c r="AL42" s="1312"/>
      <c r="AM42" s="1313"/>
      <c r="AN42" s="1313"/>
      <c r="AO42" s="1314"/>
      <c r="AP42" s="1312"/>
      <c r="AQ42" s="1313"/>
      <c r="AR42" s="1313"/>
      <c r="AS42" s="1314"/>
      <c r="AT42" s="1210" t="s">
        <v>511</v>
      </c>
      <c r="AU42" s="1211"/>
      <c r="AV42" s="1210" t="s">
        <v>512</v>
      </c>
      <c r="AW42" s="1211"/>
      <c r="AX42" s="1210" t="s">
        <v>513</v>
      </c>
      <c r="AY42" s="1305"/>
      <c r="AZ42" s="1211"/>
      <c r="BA42" s="1278"/>
      <c r="BB42" s="1281"/>
      <c r="BC42" s="1146"/>
    </row>
    <row r="43" spans="1:60" ht="14.25" customHeight="1">
      <c r="Q43" s="166"/>
      <c r="R43" s="29"/>
      <c r="S43" s="1273"/>
      <c r="T43" s="1224"/>
      <c r="U43" s="595"/>
      <c r="V43" s="1215"/>
      <c r="W43" s="1216"/>
      <c r="X43" s="1215"/>
      <c r="Y43" s="1216"/>
      <c r="Z43" s="1215"/>
      <c r="AA43" s="1306"/>
      <c r="AB43" s="1216"/>
      <c r="AC43" s="1278"/>
      <c r="AD43" s="1312"/>
      <c r="AE43" s="1313"/>
      <c r="AF43" s="1313"/>
      <c r="AG43" s="1314"/>
      <c r="AH43" s="1312"/>
      <c r="AI43" s="1313"/>
      <c r="AJ43" s="1313"/>
      <c r="AK43" s="1314"/>
      <c r="AL43" s="1312"/>
      <c r="AM43" s="1313"/>
      <c r="AN43" s="1313"/>
      <c r="AO43" s="1314"/>
      <c r="AP43" s="1312"/>
      <c r="AQ43" s="1313"/>
      <c r="AR43" s="1313"/>
      <c r="AS43" s="1314"/>
      <c r="AT43" s="1215"/>
      <c r="AU43" s="1216"/>
      <c r="AV43" s="1215"/>
      <c r="AW43" s="1216"/>
      <c r="AX43" s="1215"/>
      <c r="AY43" s="1306"/>
      <c r="AZ43" s="1216"/>
      <c r="BA43" s="1278"/>
      <c r="BB43" s="1281"/>
      <c r="BC43" s="1146"/>
    </row>
    <row r="44" spans="1:60" ht="14.25" customHeight="1">
      <c r="A44" s="81"/>
      <c r="B44" s="81" t="s">
        <v>136</v>
      </c>
      <c r="C44" s="81" t="s">
        <v>137</v>
      </c>
      <c r="D44" s="81" t="s">
        <v>138</v>
      </c>
      <c r="E44" s="760" t="s">
        <v>436</v>
      </c>
      <c r="F44" s="760" t="s">
        <v>437</v>
      </c>
      <c r="G44" s="760" t="s">
        <v>438</v>
      </c>
      <c r="H44" s="760" t="s">
        <v>439</v>
      </c>
      <c r="I44" s="760" t="s">
        <v>440</v>
      </c>
      <c r="J44" s="760" t="s">
        <v>441</v>
      </c>
      <c r="K44" s="760" t="s">
        <v>442</v>
      </c>
      <c r="L44" s="760" t="s">
        <v>417</v>
      </c>
      <c r="Q44" s="166"/>
      <c r="R44" s="29"/>
      <c r="S44" s="1273"/>
      <c r="T44" s="1224"/>
      <c r="U44" s="171"/>
      <c r="V44" s="37" t="s">
        <v>477</v>
      </c>
      <c r="W44" s="37" t="s">
        <v>478</v>
      </c>
      <c r="X44" s="37" t="s">
        <v>477</v>
      </c>
      <c r="Y44" s="37" t="s">
        <v>478</v>
      </c>
      <c r="Z44" s="40" t="s">
        <v>445</v>
      </c>
      <c r="AA44" s="1233" t="s">
        <v>446</v>
      </c>
      <c r="AB44" s="1235"/>
      <c r="AC44" s="1279"/>
      <c r="AD44" s="1315"/>
      <c r="AE44" s="1316"/>
      <c r="AF44" s="1316"/>
      <c r="AG44" s="1317"/>
      <c r="AH44" s="1315"/>
      <c r="AI44" s="1316"/>
      <c r="AJ44" s="1316"/>
      <c r="AK44" s="1317"/>
      <c r="AL44" s="1315"/>
      <c r="AM44" s="1316"/>
      <c r="AN44" s="1316"/>
      <c r="AO44" s="1317"/>
      <c r="AP44" s="1315"/>
      <c r="AQ44" s="1316"/>
      <c r="AR44" s="1316"/>
      <c r="AS44" s="1317"/>
      <c r="AT44" s="37" t="s">
        <v>477</v>
      </c>
      <c r="AU44" s="37" t="s">
        <v>478</v>
      </c>
      <c r="AV44" s="37" t="s">
        <v>477</v>
      </c>
      <c r="AW44" s="37" t="s">
        <v>478</v>
      </c>
      <c r="AX44" s="40" t="s">
        <v>445</v>
      </c>
      <c r="AY44" s="1233" t="s">
        <v>446</v>
      </c>
      <c r="AZ44" s="1235"/>
      <c r="BA44" s="1279"/>
      <c r="BB44" s="1282"/>
      <c r="BC44" s="1146"/>
    </row>
    <row r="45" spans="1:60" s="201" customFormat="1" ht="0" hidden="1" customHeight="1">
      <c r="A45" s="81"/>
      <c r="B45" s="81"/>
      <c r="C45" s="81"/>
      <c r="D45" s="81"/>
      <c r="E45" s="81"/>
      <c r="F45" s="81"/>
      <c r="G45" s="81"/>
      <c r="H45" s="81"/>
      <c r="I45" s="81"/>
      <c r="J45" s="81"/>
      <c r="K45" s="81"/>
      <c r="L45" s="760"/>
      <c r="M45" s="497"/>
      <c r="N45" s="497"/>
      <c r="O45" s="497"/>
      <c r="P45" s="288"/>
      <c r="Q45" s="714"/>
      <c r="R45" s="714">
        <v>1</v>
      </c>
      <c r="S45" s="731" t="s">
        <v>105</v>
      </c>
      <c r="T45" s="715" t="s">
        <v>106</v>
      </c>
      <c r="U45" s="710" t="str">
        <f ca="1">OFFSET(U45,0,-1)</f>
        <v>2</v>
      </c>
      <c r="V45" s="716">
        <f t="shared" ref="V45:AA45" ca="1" si="2">OFFSET(V45,0,-1)+1</f>
        <v>3</v>
      </c>
      <c r="W45" s="716">
        <f t="shared" ca="1" si="2"/>
        <v>4</v>
      </c>
      <c r="X45" s="716">
        <f t="shared" ca="1" si="2"/>
        <v>5</v>
      </c>
      <c r="Y45" s="716">
        <f t="shared" ca="1" si="2"/>
        <v>6</v>
      </c>
      <c r="Z45" s="716">
        <f t="shared" ca="1" si="2"/>
        <v>7</v>
      </c>
      <c r="AA45" s="1272">
        <f t="shared" ca="1" si="2"/>
        <v>8</v>
      </c>
      <c r="AB45" s="1272"/>
      <c r="AC45" s="716">
        <f ca="1">OFFSET(AC45,0,-2)+1</f>
        <v>9</v>
      </c>
      <c r="AD45" s="716">
        <f ca="1">OFFSET(AD45,0,-1)+1</f>
        <v>10</v>
      </c>
      <c r="AE45" s="716"/>
      <c r="AF45" s="716"/>
      <c r="AG45" s="716"/>
      <c r="AH45" s="716"/>
      <c r="AI45" s="716"/>
      <c r="AJ45" s="716"/>
      <c r="AK45" s="716"/>
      <c r="AL45" s="716"/>
      <c r="AM45" s="716"/>
      <c r="AN45" s="716"/>
      <c r="AO45" s="716"/>
      <c r="AP45" s="716"/>
      <c r="AQ45" s="716"/>
      <c r="AR45" s="716"/>
      <c r="AS45" s="716"/>
      <c r="AT45" s="716"/>
      <c r="AU45" s="716"/>
      <c r="AV45" s="716"/>
      <c r="AW45" s="716">
        <f ca="1">OFFSET(AW45,0,-1)+1</f>
        <v>1</v>
      </c>
      <c r="AX45" s="716">
        <f ca="1">OFFSET(AX45,0,-1)+1</f>
        <v>2</v>
      </c>
      <c r="AY45" s="1272">
        <f ca="1">OFFSET(AY45,0,-1)+1</f>
        <v>3</v>
      </c>
      <c r="AZ45" s="1272"/>
      <c r="BA45" s="716">
        <f ca="1">OFFSET(BA45,0,-2)+1</f>
        <v>4</v>
      </c>
      <c r="BB45" s="710">
        <f ca="1">OFFSET(BB45,0,-1)</f>
        <v>4</v>
      </c>
      <c r="BC45" s="716">
        <f ca="1">OFFSET(BC45,0,-1)+1</f>
        <v>5</v>
      </c>
      <c r="BD45" s="68"/>
      <c r="BE45" s="68"/>
      <c r="BF45" s="68"/>
      <c r="BG45" s="68"/>
      <c r="BH45" s="68"/>
    </row>
    <row r="46" spans="1:60" ht="21" customHeight="1">
      <c r="A46" s="759" t="s">
        <v>260</v>
      </c>
      <c r="B46" s="759"/>
      <c r="C46" s="759"/>
      <c r="D46" s="759"/>
      <c r="E46" s="1265">
        <v>1</v>
      </c>
      <c r="F46" s="759"/>
      <c r="G46" s="759"/>
      <c r="H46" s="759"/>
      <c r="I46" s="759"/>
      <c r="J46" s="759"/>
      <c r="K46" s="759"/>
      <c r="L46" s="760"/>
      <c r="M46" s="417"/>
      <c r="N46" s="417"/>
      <c r="O46" s="417"/>
      <c r="Q46" s="62"/>
      <c r="R46" s="205"/>
      <c r="S46" s="698">
        <f>INDEX(PT_DIFFERENTIATION_NUM_NTAR,MATCH(A46,PT_DIFFERENTIATION_NTAR_ID,0))</f>
        <v>0</v>
      </c>
      <c r="T46" s="67" t="s">
        <v>124</v>
      </c>
      <c r="U46" s="169"/>
      <c r="V46" s="1252"/>
      <c r="W46" s="1252"/>
      <c r="X46" s="1252"/>
      <c r="Y46" s="1252"/>
      <c r="Z46" s="1252"/>
      <c r="AA46" s="1252"/>
      <c r="AB46" s="1252"/>
      <c r="AC46" s="1253"/>
      <c r="AD46" s="1251" t="str">
        <f>INDEX(PT_DIFFERENTIATION_NTAR,MATCH(A46,PT_DIFFERENTIATION_NTAR_ID,0))</f>
        <v/>
      </c>
      <c r="AE46" s="1252"/>
      <c r="AF46" s="1252"/>
      <c r="AG46" s="1252"/>
      <c r="AH46" s="1252"/>
      <c r="AI46" s="1252"/>
      <c r="AJ46" s="1252"/>
      <c r="AK46" s="1252"/>
      <c r="AL46" s="1252"/>
      <c r="AM46" s="1252"/>
      <c r="AN46" s="1252"/>
      <c r="AO46" s="1252"/>
      <c r="AP46" s="1252"/>
      <c r="AQ46" s="1252"/>
      <c r="AR46" s="1252"/>
      <c r="AS46" s="1252"/>
      <c r="AT46" s="1252"/>
      <c r="AU46" s="1252"/>
      <c r="AV46" s="1252"/>
      <c r="AW46" s="1252"/>
      <c r="AX46" s="1252"/>
      <c r="AY46" s="1252"/>
      <c r="AZ46" s="1252"/>
      <c r="BA46" s="1252"/>
      <c r="BB46" s="1253"/>
      <c r="BC46" s="7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row>
    <row r="47" spans="1:60" ht="21" customHeight="1">
      <c r="A47" s="759" t="s">
        <v>260</v>
      </c>
      <c r="B47" s="759" t="s">
        <v>261</v>
      </c>
      <c r="C47" s="759"/>
      <c r="D47" s="759"/>
      <c r="E47" s="1266"/>
      <c r="F47" s="1265">
        <v>1</v>
      </c>
      <c r="G47" s="759"/>
      <c r="H47" s="759"/>
      <c r="I47" s="759"/>
      <c r="J47" s="759"/>
      <c r="K47" s="759"/>
      <c r="L47" s="760"/>
      <c r="M47" s="417"/>
      <c r="N47" s="417"/>
      <c r="O47" s="417"/>
      <c r="P47" s="299"/>
      <c r="Q47" s="792"/>
      <c r="R47" s="203"/>
      <c r="S47" s="698" t="str">
        <f>INDEX(PT_DIFFERENTIATION_NUM_TER,MATCH(B47,PT_DIFFERENTIATION_TER_ID,0))</f>
        <v>.</v>
      </c>
      <c r="T47" s="175" t="s">
        <v>396</v>
      </c>
      <c r="U47" s="169"/>
      <c r="V47" s="1252"/>
      <c r="W47" s="1252"/>
      <c r="X47" s="1252"/>
      <c r="Y47" s="1252"/>
      <c r="Z47" s="1252"/>
      <c r="AA47" s="1252"/>
      <c r="AB47" s="1252"/>
      <c r="AC47" s="1253"/>
      <c r="AD47" s="1251" t="str">
        <f>INDEX(PT_DIFFERENTIATION_TER,MATCH(B47,PT_DIFFERENTIATION_TER_ID,0))</f>
        <v/>
      </c>
      <c r="AE47" s="1252"/>
      <c r="AF47" s="1252"/>
      <c r="AG47" s="1252"/>
      <c r="AH47" s="1252"/>
      <c r="AI47" s="1252"/>
      <c r="AJ47" s="1252"/>
      <c r="AK47" s="1252"/>
      <c r="AL47" s="1252"/>
      <c r="AM47" s="1252"/>
      <c r="AN47" s="1252"/>
      <c r="AO47" s="1252"/>
      <c r="AP47" s="1252"/>
      <c r="AQ47" s="1252"/>
      <c r="AR47" s="1252"/>
      <c r="AS47" s="1252"/>
      <c r="AT47" s="1252"/>
      <c r="AU47" s="1252"/>
      <c r="AV47" s="1252"/>
      <c r="AW47" s="1252"/>
      <c r="AX47" s="1252"/>
      <c r="AY47" s="1252"/>
      <c r="AZ47" s="1252"/>
      <c r="BA47" s="1252"/>
      <c r="BB47" s="1253"/>
      <c r="BC47" s="718" t="s">
        <v>397</v>
      </c>
      <c r="BE47" s="69"/>
      <c r="BF47" s="69" t="str">
        <f t="shared" si="3"/>
        <v>Территория действия тарифа</v>
      </c>
      <c r="BG47" s="69"/>
      <c r="BH47" s="69"/>
    </row>
    <row r="48" spans="1:60" ht="33.75" customHeight="1">
      <c r="A48" s="759" t="s">
        <v>260</v>
      </c>
      <c r="B48" s="759" t="s">
        <v>261</v>
      </c>
      <c r="C48" s="759" t="s">
        <v>262</v>
      </c>
      <c r="D48" s="759"/>
      <c r="E48" s="1266"/>
      <c r="F48" s="1266"/>
      <c r="G48" s="1265">
        <v>1</v>
      </c>
      <c r="H48" s="759"/>
      <c r="I48" s="759"/>
      <c r="J48" s="759"/>
      <c r="K48" s="759"/>
      <c r="L48" s="760"/>
      <c r="M48" s="417"/>
      <c r="N48" s="417"/>
      <c r="O48" s="417"/>
      <c r="P48" s="129"/>
      <c r="Q48" s="792"/>
      <c r="R48" s="203"/>
      <c r="S48" s="698" t="str">
        <f>INDEX(PT_DIFFERENTIATION_NUM_CS,MATCH(C48,PT_DIFFERENTIATION_CS_ID,0))</f>
        <v>..</v>
      </c>
      <c r="T48" s="176" t="s">
        <v>529</v>
      </c>
      <c r="U48" s="169"/>
      <c r="V48" s="1252"/>
      <c r="W48" s="1252"/>
      <c r="X48" s="1252"/>
      <c r="Y48" s="1252"/>
      <c r="Z48" s="1252"/>
      <c r="AA48" s="1252"/>
      <c r="AB48" s="1252"/>
      <c r="AC48" s="1253"/>
      <c r="AD48" s="1251" t="str">
        <f>INDEX(PT_DIFFERENTIATION_CS,MATCH(C48,PT_DIFFERENTIATION_CS_ID,0))</f>
        <v/>
      </c>
      <c r="AE48" s="1252"/>
      <c r="AF48" s="1252"/>
      <c r="AG48" s="1252"/>
      <c r="AH48" s="1252"/>
      <c r="AI48" s="1252"/>
      <c r="AJ48" s="1252"/>
      <c r="AK48" s="1252"/>
      <c r="AL48" s="1252"/>
      <c r="AM48" s="1252"/>
      <c r="AN48" s="1252"/>
      <c r="AO48" s="1252"/>
      <c r="AP48" s="1252"/>
      <c r="AQ48" s="1252"/>
      <c r="AR48" s="1252"/>
      <c r="AS48" s="1252"/>
      <c r="AT48" s="1252"/>
      <c r="AU48" s="1252"/>
      <c r="AV48" s="1252"/>
      <c r="AW48" s="1252"/>
      <c r="AX48" s="1252"/>
      <c r="AY48" s="1252"/>
      <c r="AZ48" s="1252"/>
      <c r="BA48" s="1252"/>
      <c r="BB48" s="1253"/>
      <c r="BC48" s="718" t="s">
        <v>530</v>
      </c>
      <c r="BE48" s="69"/>
      <c r="BF48" s="69" t="str">
        <f t="shared" si="3"/>
        <v>Наименование централизованной системы горячего водоснабжения</v>
      </c>
      <c r="BG48" s="69"/>
      <c r="BH48" s="69"/>
    </row>
    <row r="49" spans="1:60" s="68" customFormat="1" ht="0" hidden="1" customHeight="1">
      <c r="A49" s="143" t="s">
        <v>260</v>
      </c>
      <c r="B49" s="143" t="s">
        <v>261</v>
      </c>
      <c r="C49" s="143" t="s">
        <v>262</v>
      </c>
      <c r="D49" s="143" t="s">
        <v>543</v>
      </c>
      <c r="E49" s="1266"/>
      <c r="F49" s="1266"/>
      <c r="G49" s="1266"/>
      <c r="H49" s="1265">
        <v>1</v>
      </c>
      <c r="I49" s="143"/>
      <c r="J49" s="143"/>
      <c r="K49" s="143"/>
      <c r="L49" s="338"/>
      <c r="M49" s="291"/>
      <c r="N49" s="291"/>
      <c r="O49" s="291"/>
      <c r="P49" s="810"/>
      <c r="Q49" s="811"/>
      <c r="R49" s="207"/>
      <c r="S49" s="353"/>
      <c r="T49" s="812"/>
      <c r="U49" s="770"/>
      <c r="V49" s="1295"/>
      <c r="W49" s="1295"/>
      <c r="X49" s="1295"/>
      <c r="Y49" s="1295"/>
      <c r="Z49" s="1295"/>
      <c r="AA49" s="1295"/>
      <c r="AB49" s="1295"/>
      <c r="AC49" s="1296"/>
      <c r="AD49" s="1294"/>
      <c r="AE49" s="1295"/>
      <c r="AF49" s="1295"/>
      <c r="AG49" s="1295"/>
      <c r="AH49" s="1295"/>
      <c r="AI49" s="1295"/>
      <c r="AJ49" s="1295"/>
      <c r="AK49" s="1295"/>
      <c r="AL49" s="1295"/>
      <c r="AM49" s="1295"/>
      <c r="AN49" s="1295"/>
      <c r="AO49" s="1295"/>
      <c r="AP49" s="1295"/>
      <c r="AQ49" s="1295"/>
      <c r="AR49" s="1295"/>
      <c r="AS49" s="1295"/>
      <c r="AT49" s="1295"/>
      <c r="AU49" s="1295"/>
      <c r="AV49" s="1295"/>
      <c r="AW49" s="1295"/>
      <c r="AX49" s="1295"/>
      <c r="AY49" s="1295"/>
      <c r="AZ49" s="1295"/>
      <c r="BA49" s="1295"/>
      <c r="BB49" s="1296"/>
      <c r="BC49" s="771" t="s">
        <v>401</v>
      </c>
      <c r="BE49" s="69"/>
      <c r="BF49" s="69" t="str">
        <f t="shared" si="3"/>
        <v/>
      </c>
      <c r="BG49" s="69"/>
      <c r="BH49" s="69"/>
    </row>
    <row r="50" spans="1:60" s="68" customFormat="1" ht="0" hidden="1" customHeight="1">
      <c r="A50" s="143" t="s">
        <v>260</v>
      </c>
      <c r="B50" s="143" t="s">
        <v>261</v>
      </c>
      <c r="C50" s="143" t="s">
        <v>262</v>
      </c>
      <c r="D50" s="143" t="s">
        <v>543</v>
      </c>
      <c r="E50" s="1266"/>
      <c r="F50" s="1266"/>
      <c r="G50" s="1266"/>
      <c r="H50" s="1266"/>
      <c r="I50" s="1263" t="str">
        <f>S49&amp;".1"</f>
        <v>.1</v>
      </c>
      <c r="J50" s="143"/>
      <c r="K50" s="143"/>
      <c r="L50" s="338" t="s">
        <v>402</v>
      </c>
      <c r="M50" s="288"/>
      <c r="N50" s="288"/>
      <c r="O50" s="288"/>
      <c r="P50" s="1264">
        <v>1</v>
      </c>
      <c r="Q50" s="120"/>
      <c r="R50" s="206"/>
      <c r="S50" s="353"/>
      <c r="T50" s="769"/>
      <c r="U50" s="770"/>
      <c r="V50" s="1295"/>
      <c r="W50" s="1295"/>
      <c r="X50" s="1295"/>
      <c r="Y50" s="1295"/>
      <c r="Z50" s="1295"/>
      <c r="AA50" s="1295"/>
      <c r="AB50" s="1295"/>
      <c r="AC50" s="1296"/>
      <c r="AD50" s="1294"/>
      <c r="AE50" s="1295"/>
      <c r="AF50" s="1295"/>
      <c r="AG50" s="1295"/>
      <c r="AH50" s="1295"/>
      <c r="AI50" s="1295"/>
      <c r="AJ50" s="1295"/>
      <c r="AK50" s="1295"/>
      <c r="AL50" s="1295"/>
      <c r="AM50" s="1295"/>
      <c r="AN50" s="1295"/>
      <c r="AO50" s="1295"/>
      <c r="AP50" s="1295"/>
      <c r="AQ50" s="1295"/>
      <c r="AR50" s="1295"/>
      <c r="AS50" s="1295"/>
      <c r="AT50" s="1295"/>
      <c r="AU50" s="1295"/>
      <c r="AV50" s="1295"/>
      <c r="AW50" s="1295"/>
      <c r="AX50" s="1295"/>
      <c r="AY50" s="1295"/>
      <c r="AZ50" s="1295"/>
      <c r="BA50" s="1295"/>
      <c r="BB50" s="1296"/>
      <c r="BC50" s="771"/>
      <c r="BE50" s="69"/>
      <c r="BF50" s="69" t="str">
        <f t="shared" si="3"/>
        <v/>
      </c>
      <c r="BG50" s="69"/>
      <c r="BH50" s="69"/>
    </row>
    <row r="51" spans="1:60" s="68" customFormat="1" ht="0" hidden="1" customHeight="1">
      <c r="A51" s="143" t="s">
        <v>260</v>
      </c>
      <c r="B51" s="143" t="s">
        <v>261</v>
      </c>
      <c r="C51" s="143" t="s">
        <v>262</v>
      </c>
      <c r="D51" s="143" t="s">
        <v>543</v>
      </c>
      <c r="E51" s="1266"/>
      <c r="F51" s="1266"/>
      <c r="G51" s="1266"/>
      <c r="H51" s="1266"/>
      <c r="I51" s="1286"/>
      <c r="J51" s="1263" t="str">
        <f>S49&amp;".1"</f>
        <v>.1</v>
      </c>
      <c r="K51" s="143"/>
      <c r="L51" s="338"/>
      <c r="M51" s="288"/>
      <c r="N51" s="288"/>
      <c r="O51" s="288"/>
      <c r="P51" s="1264"/>
      <c r="Q51" s="1264">
        <v>1</v>
      </c>
      <c r="R51" s="207"/>
      <c r="S51" s="353"/>
      <c r="T51" s="784"/>
      <c r="U51" s="770"/>
      <c r="V51" s="1295"/>
      <c r="W51" s="1295"/>
      <c r="X51" s="1295"/>
      <c r="Y51" s="1295"/>
      <c r="Z51" s="1295"/>
      <c r="AA51" s="1295"/>
      <c r="AB51" s="1295"/>
      <c r="AC51" s="1296"/>
      <c r="AD51" s="1294"/>
      <c r="AE51" s="1295"/>
      <c r="AF51" s="1295"/>
      <c r="AG51" s="1295"/>
      <c r="AH51" s="1295"/>
      <c r="AI51" s="1295"/>
      <c r="AJ51" s="1295"/>
      <c r="AK51" s="1295"/>
      <c r="AL51" s="1295"/>
      <c r="AM51" s="1295"/>
      <c r="AN51" s="1346"/>
      <c r="AO51" s="1346"/>
      <c r="AP51" s="1295"/>
      <c r="AQ51" s="1295"/>
      <c r="AR51" s="1295"/>
      <c r="AS51" s="1295"/>
      <c r="AT51" s="1295"/>
      <c r="AU51" s="1295"/>
      <c r="AV51" s="1295"/>
      <c r="AW51" s="1295"/>
      <c r="AX51" s="1295"/>
      <c r="AY51" s="1295"/>
      <c r="AZ51" s="1295"/>
      <c r="BA51" s="1295"/>
      <c r="BB51" s="1296"/>
      <c r="BC51" s="771"/>
      <c r="BE51" s="69"/>
      <c r="BF51" s="69" t="str">
        <f t="shared" si="3"/>
        <v/>
      </c>
      <c r="BG51" s="69"/>
      <c r="BH51" s="69"/>
    </row>
    <row r="52" spans="1:60" ht="11.25" customHeight="1">
      <c r="A52" s="759" t="s">
        <v>260</v>
      </c>
      <c r="B52" s="759" t="s">
        <v>261</v>
      </c>
      <c r="C52" s="759" t="s">
        <v>262</v>
      </c>
      <c r="D52" s="759" t="s">
        <v>543</v>
      </c>
      <c r="E52" s="1266"/>
      <c r="F52" s="1266"/>
      <c r="G52" s="1266"/>
      <c r="H52" s="1266"/>
      <c r="I52" s="1286"/>
      <c r="J52" s="1286"/>
      <c r="K52" s="1263" t="str">
        <f>S48&amp;".1"</f>
        <v>...1</v>
      </c>
      <c r="L52" s="760"/>
      <c r="P52" s="1264"/>
      <c r="Q52" s="1264"/>
      <c r="R52" s="207">
        <v>1</v>
      </c>
      <c r="S52" s="1322" t="str">
        <f>$K52</f>
        <v>...1</v>
      </c>
      <c r="T52" s="1341"/>
      <c r="U52" s="169"/>
      <c r="V52" s="304"/>
      <c r="W52" s="717"/>
      <c r="X52" s="304"/>
      <c r="Y52" s="717"/>
      <c r="Z52" s="933"/>
      <c r="AA52" s="295" t="s">
        <v>62</v>
      </c>
      <c r="AB52" s="933"/>
      <c r="AC52" s="295" t="s">
        <v>62</v>
      </c>
      <c r="AD52" s="1203" t="s">
        <v>62</v>
      </c>
      <c r="AE52" s="1308"/>
      <c r="AF52" s="1220">
        <v>1</v>
      </c>
      <c r="AG52" s="1345"/>
      <c r="AH52" s="1127" t="s">
        <v>62</v>
      </c>
      <c r="AI52" s="1308"/>
      <c r="AJ52" s="1220">
        <v>1</v>
      </c>
      <c r="AK52" s="1344" t="s">
        <v>18</v>
      </c>
      <c r="AL52" s="1127" t="s">
        <v>62</v>
      </c>
      <c r="AM52" s="1210"/>
      <c r="AN52" s="1220">
        <v>1</v>
      </c>
      <c r="AO52" s="1338"/>
      <c r="AP52" s="1339" t="s">
        <v>62</v>
      </c>
      <c r="AQ52" s="178"/>
      <c r="AR52" s="266">
        <v>1</v>
      </c>
      <c r="AS52" s="117" t="s">
        <v>18</v>
      </c>
      <c r="AT52" s="304"/>
      <c r="AU52" s="717"/>
      <c r="AV52" s="304"/>
      <c r="AW52" s="717"/>
      <c r="AX52" s="933"/>
      <c r="AY52" s="295" t="s">
        <v>62</v>
      </c>
      <c r="AZ52" s="933"/>
      <c r="BA52" s="295" t="s">
        <v>62</v>
      </c>
      <c r="BB52" s="756"/>
      <c r="BC52" s="1260" t="s">
        <v>500</v>
      </c>
      <c r="BE52" s="69"/>
      <c r="BF52" s="69" t="str">
        <f t="shared" si="3"/>
        <v/>
      </c>
      <c r="BG52" s="69"/>
      <c r="BH52" s="69"/>
    </row>
    <row r="53" spans="1:60" ht="11.25" customHeight="1">
      <c r="A53" s="759"/>
      <c r="B53" s="759"/>
      <c r="C53" s="759"/>
      <c r="D53" s="759"/>
      <c r="E53" s="1266"/>
      <c r="F53" s="1266"/>
      <c r="G53" s="1266"/>
      <c r="H53" s="1266"/>
      <c r="I53" s="1286"/>
      <c r="J53" s="1286"/>
      <c r="K53" s="1263"/>
      <c r="L53" s="760"/>
      <c r="P53" s="1264"/>
      <c r="Q53" s="1264"/>
      <c r="R53" s="207"/>
      <c r="S53" s="1323"/>
      <c r="T53" s="1342"/>
      <c r="U53" s="169"/>
      <c r="V53" s="779"/>
      <c r="W53" s="809"/>
      <c r="X53" s="779"/>
      <c r="Y53" s="809"/>
      <c r="Z53" s="779"/>
      <c r="AA53" s="779"/>
      <c r="AB53" s="779"/>
      <c r="AC53" s="779"/>
      <c r="AD53" s="1204"/>
      <c r="AE53" s="1308"/>
      <c r="AF53" s="1220"/>
      <c r="AG53" s="1345"/>
      <c r="AH53" s="1127"/>
      <c r="AI53" s="1308"/>
      <c r="AJ53" s="1220"/>
      <c r="AK53" s="1344"/>
      <c r="AL53" s="1127"/>
      <c r="AM53" s="1215"/>
      <c r="AN53" s="1220"/>
      <c r="AO53" s="1338"/>
      <c r="AP53" s="1340"/>
      <c r="AQ53" s="182"/>
      <c r="AR53" s="53"/>
      <c r="AS53" s="53" t="s">
        <v>501</v>
      </c>
      <c r="AT53" s="779"/>
      <c r="AU53" s="809"/>
      <c r="AV53" s="779"/>
      <c r="AW53" s="809"/>
      <c r="AX53" s="779"/>
      <c r="AY53" s="779"/>
      <c r="AZ53" s="779"/>
      <c r="BA53" s="779"/>
      <c r="BB53" s="783"/>
      <c r="BC53" s="1261"/>
      <c r="BE53" s="69"/>
      <c r="BF53" s="69"/>
      <c r="BG53" s="69"/>
      <c r="BH53" s="69"/>
    </row>
    <row r="54" spans="1:60" ht="11.25" customHeight="1">
      <c r="A54" s="759" t="s">
        <v>260</v>
      </c>
      <c r="B54" s="759"/>
      <c r="C54" s="759"/>
      <c r="D54" s="759"/>
      <c r="E54" s="1266"/>
      <c r="F54" s="1266"/>
      <c r="G54" s="1266"/>
      <c r="H54" s="1266"/>
      <c r="I54" s="1286"/>
      <c r="J54" s="1286"/>
      <c r="K54" s="1263"/>
      <c r="L54" s="760"/>
      <c r="P54" s="1264"/>
      <c r="Q54" s="1264"/>
      <c r="R54" s="207"/>
      <c r="S54" s="1323"/>
      <c r="T54" s="1342"/>
      <c r="U54" s="169"/>
      <c r="V54" s="779"/>
      <c r="W54" s="809"/>
      <c r="X54" s="779"/>
      <c r="Y54" s="809"/>
      <c r="Z54" s="779"/>
      <c r="AA54" s="779"/>
      <c r="AB54" s="779"/>
      <c r="AC54" s="779"/>
      <c r="AD54" s="1204"/>
      <c r="AE54" s="1308"/>
      <c r="AF54" s="1220"/>
      <c r="AG54" s="1345"/>
      <c r="AH54" s="1127"/>
      <c r="AI54" s="1308"/>
      <c r="AJ54" s="1220"/>
      <c r="AK54" s="1344"/>
      <c r="AL54" s="1127"/>
      <c r="AM54" s="182"/>
      <c r="AN54" s="813"/>
      <c r="AO54" s="813" t="s">
        <v>502</v>
      </c>
      <c r="AP54" s="53"/>
      <c r="AQ54" s="53"/>
      <c r="AR54" s="53"/>
      <c r="AS54" s="779"/>
      <c r="AT54" s="779"/>
      <c r="AU54" s="809"/>
      <c r="AV54" s="779"/>
      <c r="AW54" s="809"/>
      <c r="AX54" s="779"/>
      <c r="AY54" s="779"/>
      <c r="AZ54" s="779"/>
      <c r="BA54" s="779"/>
      <c r="BB54" s="783"/>
      <c r="BC54" s="1261"/>
      <c r="BE54" s="69"/>
      <c r="BF54" s="69"/>
      <c r="BG54" s="69"/>
      <c r="BH54" s="69"/>
    </row>
    <row r="55" spans="1:60" ht="11.25" customHeight="1">
      <c r="A55" s="759" t="s">
        <v>260</v>
      </c>
      <c r="B55" s="759"/>
      <c r="C55" s="759"/>
      <c r="D55" s="759"/>
      <c r="E55" s="1266"/>
      <c r="F55" s="1266"/>
      <c r="G55" s="1266"/>
      <c r="H55" s="1266"/>
      <c r="I55" s="1286"/>
      <c r="J55" s="1286"/>
      <c r="K55" s="1263"/>
      <c r="L55" s="760"/>
      <c r="P55" s="1264"/>
      <c r="Q55" s="1264"/>
      <c r="R55" s="207"/>
      <c r="S55" s="1323"/>
      <c r="T55" s="1342"/>
      <c r="U55" s="169"/>
      <c r="V55" s="779"/>
      <c r="W55" s="809"/>
      <c r="X55" s="779"/>
      <c r="Y55" s="809"/>
      <c r="Z55" s="779"/>
      <c r="AA55" s="779"/>
      <c r="AB55" s="779"/>
      <c r="AC55" s="779"/>
      <c r="AD55" s="1204"/>
      <c r="AE55" s="1308"/>
      <c r="AF55" s="1220"/>
      <c r="AG55" s="1345"/>
      <c r="AH55" s="1127"/>
      <c r="AI55" s="167"/>
      <c r="AJ55" s="108"/>
      <c r="AK55" s="180" t="s">
        <v>503</v>
      </c>
      <c r="AL55" s="779"/>
      <c r="AM55" s="779"/>
      <c r="AN55" s="779"/>
      <c r="AO55" s="779"/>
      <c r="AP55" s="779"/>
      <c r="AQ55" s="779"/>
      <c r="AR55" s="779"/>
      <c r="AS55" s="779"/>
      <c r="AT55" s="779"/>
      <c r="AU55" s="809"/>
      <c r="AV55" s="779"/>
      <c r="AW55" s="809"/>
      <c r="AX55" s="779"/>
      <c r="AY55" s="779"/>
      <c r="AZ55" s="779"/>
      <c r="BA55" s="779"/>
      <c r="BB55" s="783"/>
      <c r="BC55" s="1261"/>
      <c r="BE55" s="69"/>
      <c r="BF55" s="69"/>
      <c r="BG55" s="69"/>
      <c r="BH55" s="69"/>
    </row>
    <row r="56" spans="1:60" ht="11.25" customHeight="1">
      <c r="A56" s="759" t="s">
        <v>260</v>
      </c>
      <c r="B56" s="759" t="s">
        <v>261</v>
      </c>
      <c r="C56" s="759" t="s">
        <v>262</v>
      </c>
      <c r="D56" s="759" t="s">
        <v>543</v>
      </c>
      <c r="E56" s="1266"/>
      <c r="F56" s="1266"/>
      <c r="G56" s="1266"/>
      <c r="H56" s="1266"/>
      <c r="I56" s="1286"/>
      <c r="J56" s="1286"/>
      <c r="K56" s="1263"/>
      <c r="L56" s="760"/>
      <c r="P56" s="1264"/>
      <c r="Q56" s="1264"/>
      <c r="R56" s="207"/>
      <c r="S56" s="1324"/>
      <c r="T56" s="1343"/>
      <c r="U56" s="169"/>
      <c r="V56" s="779"/>
      <c r="W56" s="780" t="str">
        <f>Z52&amp;"-"&amp;AB52</f>
        <v>-</v>
      </c>
      <c r="X56" s="779"/>
      <c r="Y56" s="780" t="str">
        <f>AB52&amp;"-"&amp;AD52</f>
        <v>-да</v>
      </c>
      <c r="Z56" s="779"/>
      <c r="AA56" s="779"/>
      <c r="AB56" s="779"/>
      <c r="AC56" s="779"/>
      <c r="AD56" s="1132"/>
      <c r="AE56" s="179"/>
      <c r="AF56" s="181"/>
      <c r="AG56" s="53" t="s">
        <v>504</v>
      </c>
      <c r="AH56" s="779"/>
      <c r="AI56" s="779"/>
      <c r="AJ56" s="779"/>
      <c r="AK56" s="779"/>
      <c r="AL56" s="779"/>
      <c r="AM56" s="779"/>
      <c r="AN56" s="779"/>
      <c r="AO56" s="779"/>
      <c r="AP56" s="779"/>
      <c r="AQ56" s="779"/>
      <c r="AR56" s="779"/>
      <c r="AS56" s="779"/>
      <c r="AT56" s="779"/>
      <c r="AU56" s="780" t="str">
        <f>AX52&amp;"-"&amp;AZ52</f>
        <v>-</v>
      </c>
      <c r="AV56" s="779"/>
      <c r="AW56" s="780" t="str">
        <f>AZ52&amp;"-"&amp;BB52</f>
        <v>-</v>
      </c>
      <c r="AX56" s="779"/>
      <c r="AY56" s="779"/>
      <c r="AZ56" s="779"/>
      <c r="BA56" s="779"/>
      <c r="BB56" s="782" t="str">
        <f>BE52&amp;"-"&amp;BG52</f>
        <v>-</v>
      </c>
      <c r="BC56" s="1261"/>
      <c r="BE56" s="69"/>
      <c r="BF56" s="69" t="str">
        <f t="shared" ref="BF56:BF63" si="4">IF(T56="","",T56)</f>
        <v/>
      </c>
      <c r="BG56" s="69"/>
      <c r="BH56" s="69"/>
    </row>
    <row r="57" spans="1:60" ht="11.25" customHeight="1">
      <c r="A57" s="759" t="s">
        <v>260</v>
      </c>
      <c r="B57" s="759" t="s">
        <v>261</v>
      </c>
      <c r="C57" s="759" t="s">
        <v>262</v>
      </c>
      <c r="D57" s="759" t="s">
        <v>543</v>
      </c>
      <c r="E57" s="1266"/>
      <c r="F57" s="1266"/>
      <c r="G57" s="1266"/>
      <c r="H57" s="1266"/>
      <c r="I57" s="1286"/>
      <c r="J57" s="1263"/>
      <c r="K57" s="759"/>
      <c r="L57" s="760"/>
      <c r="P57" s="1264"/>
      <c r="Q57" s="1264"/>
      <c r="R57" s="206"/>
      <c r="S57" s="732"/>
      <c r="T57" s="164" t="s">
        <v>467</v>
      </c>
      <c r="U57" s="211"/>
      <c r="V57" s="211"/>
      <c r="W57" s="211"/>
      <c r="X57" s="211"/>
      <c r="Y57" s="211"/>
      <c r="Z57" s="211"/>
      <c r="AA57" s="211"/>
      <c r="AB57" s="211"/>
      <c r="AC57" s="188"/>
      <c r="AD57" s="817"/>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188"/>
      <c r="BC57" s="1262"/>
      <c r="BE57" s="69"/>
      <c r="BF57" s="69" t="str">
        <f t="shared" si="4"/>
        <v>Добавить строку</v>
      </c>
      <c r="BG57" s="69"/>
      <c r="BH57" s="69"/>
    </row>
    <row r="58" spans="1:60" s="68" customFormat="1" ht="0" hidden="1" customHeight="1">
      <c r="A58" s="143" t="s">
        <v>260</v>
      </c>
      <c r="B58" s="143" t="s">
        <v>261</v>
      </c>
      <c r="C58" s="143" t="s">
        <v>262</v>
      </c>
      <c r="D58" s="143" t="s">
        <v>543</v>
      </c>
      <c r="E58" s="1266"/>
      <c r="F58" s="1266"/>
      <c r="G58" s="1266"/>
      <c r="H58" s="1266"/>
      <c r="I58" s="1263"/>
      <c r="J58" s="143"/>
      <c r="K58" s="143"/>
      <c r="L58" s="338"/>
      <c r="M58" s="288"/>
      <c r="N58" s="288"/>
      <c r="O58" s="288"/>
      <c r="P58" s="1264"/>
      <c r="Q58" s="120"/>
      <c r="R58" s="206"/>
      <c r="S58" s="772"/>
      <c r="T58" s="773"/>
      <c r="U58" s="774"/>
      <c r="V58" s="774"/>
      <c r="W58" s="774"/>
      <c r="X58" s="774"/>
      <c r="Y58" s="774"/>
      <c r="Z58" s="774"/>
      <c r="AA58" s="774"/>
      <c r="AB58" s="774"/>
      <c r="AC58" s="774"/>
      <c r="AD58" s="774"/>
      <c r="AE58" s="774"/>
      <c r="AF58" s="774"/>
      <c r="AG58" s="774"/>
      <c r="AH58" s="774"/>
      <c r="AI58" s="774"/>
      <c r="AJ58" s="774"/>
      <c r="AK58" s="774"/>
      <c r="AL58" s="774"/>
      <c r="AM58" s="774"/>
      <c r="AN58" s="774"/>
      <c r="AO58" s="774"/>
      <c r="AP58" s="774"/>
      <c r="AQ58" s="774"/>
      <c r="AR58" s="774"/>
      <c r="AS58" s="774"/>
      <c r="AT58" s="774"/>
      <c r="AU58" s="774"/>
      <c r="AV58" s="774"/>
      <c r="AW58" s="774"/>
      <c r="AX58" s="774"/>
      <c r="AY58" s="774"/>
      <c r="AZ58" s="774"/>
      <c r="BA58" s="774"/>
      <c r="BB58" s="774"/>
      <c r="BC58" s="775"/>
      <c r="BE58" s="69"/>
      <c r="BF58" s="69" t="str">
        <f t="shared" si="4"/>
        <v/>
      </c>
      <c r="BG58" s="69"/>
      <c r="BH58" s="69"/>
    </row>
    <row r="59" spans="1:60" s="68" customFormat="1" ht="0" hidden="1" customHeight="1">
      <c r="A59" s="143" t="s">
        <v>260</v>
      </c>
      <c r="B59" s="143" t="s">
        <v>261</v>
      </c>
      <c r="C59" s="143" t="s">
        <v>262</v>
      </c>
      <c r="D59" s="143" t="s">
        <v>543</v>
      </c>
      <c r="E59" s="1266"/>
      <c r="F59" s="1266"/>
      <c r="G59" s="1266"/>
      <c r="H59" s="1265"/>
      <c r="I59" s="143"/>
      <c r="J59" s="143"/>
      <c r="K59" s="143"/>
      <c r="L59" s="338"/>
      <c r="M59" s="291"/>
      <c r="N59" s="291"/>
      <c r="P59" s="102"/>
      <c r="Q59" s="745"/>
      <c r="R59" s="786"/>
      <c r="S59" s="772"/>
      <c r="T59" s="773"/>
      <c r="U59" s="774"/>
      <c r="V59" s="774"/>
      <c r="W59" s="774"/>
      <c r="X59" s="774"/>
      <c r="Y59" s="774"/>
      <c r="Z59" s="774"/>
      <c r="AA59" s="774"/>
      <c r="AB59" s="774"/>
      <c r="AC59" s="774"/>
      <c r="AD59" s="774"/>
      <c r="AE59" s="774"/>
      <c r="AF59" s="774"/>
      <c r="AG59" s="774"/>
      <c r="AH59" s="774"/>
      <c r="AI59" s="774"/>
      <c r="AJ59" s="774"/>
      <c r="AK59" s="774"/>
      <c r="AL59" s="774"/>
      <c r="AM59" s="774"/>
      <c r="AN59" s="774"/>
      <c r="AO59" s="774"/>
      <c r="AP59" s="774"/>
      <c r="AQ59" s="774"/>
      <c r="AR59" s="774"/>
      <c r="AS59" s="774"/>
      <c r="AT59" s="774"/>
      <c r="AU59" s="774"/>
      <c r="AV59" s="774"/>
      <c r="AW59" s="774"/>
      <c r="AX59" s="774"/>
      <c r="AY59" s="774"/>
      <c r="AZ59" s="774"/>
      <c r="BA59" s="774"/>
      <c r="BB59" s="774"/>
      <c r="BC59" s="775"/>
      <c r="BE59" s="69"/>
      <c r="BF59" s="69" t="str">
        <f t="shared" si="4"/>
        <v/>
      </c>
      <c r="BG59" s="69"/>
      <c r="BH59" s="69"/>
    </row>
    <row r="60" spans="1:60" s="68" customFormat="1" ht="0" hidden="1" customHeight="1">
      <c r="A60" s="143" t="s">
        <v>260</v>
      </c>
      <c r="B60" s="143" t="s">
        <v>261</v>
      </c>
      <c r="C60" s="143" t="s">
        <v>262</v>
      </c>
      <c r="D60" s="143"/>
      <c r="E60" s="1266"/>
      <c r="F60" s="1266"/>
      <c r="G60" s="1265"/>
      <c r="H60" s="143"/>
      <c r="I60" s="143"/>
      <c r="J60" s="143"/>
      <c r="K60" s="143"/>
      <c r="L60" s="338"/>
      <c r="M60" s="291"/>
      <c r="N60" s="291"/>
      <c r="P60" s="102"/>
      <c r="Q60" s="745"/>
      <c r="R60" s="102"/>
      <c r="S60" s="750"/>
      <c r="T60" s="752"/>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1"/>
      <c r="AY60" s="311"/>
      <c r="AZ60" s="311"/>
      <c r="BA60" s="311"/>
      <c r="BB60" s="311"/>
      <c r="BC60" s="311"/>
      <c r="BE60" s="69"/>
      <c r="BF60" s="69" t="str">
        <f t="shared" si="4"/>
        <v/>
      </c>
      <c r="BG60" s="69"/>
      <c r="BH60" s="69"/>
    </row>
    <row r="61" spans="1:60" s="68" customFormat="1" ht="0" hidden="1" customHeight="1">
      <c r="A61" s="143" t="s">
        <v>260</v>
      </c>
      <c r="B61" s="143" t="s">
        <v>261</v>
      </c>
      <c r="C61" s="143"/>
      <c r="D61" s="143"/>
      <c r="E61" s="1266"/>
      <c r="F61" s="1265"/>
      <c r="G61" s="143"/>
      <c r="H61" s="143"/>
      <c r="I61" s="143"/>
      <c r="J61" s="143"/>
      <c r="K61" s="143"/>
      <c r="L61" s="338"/>
      <c r="M61" s="749"/>
      <c r="N61" s="749"/>
      <c r="P61" s="102"/>
      <c r="Q61" s="745"/>
      <c r="R61" s="102"/>
      <c r="S61" s="750"/>
      <c r="T61" s="752" t="s">
        <v>414</v>
      </c>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c r="AY61" s="311"/>
      <c r="AZ61" s="311"/>
      <c r="BA61" s="311"/>
      <c r="BB61" s="311"/>
      <c r="BC61" s="311"/>
      <c r="BE61" s="69"/>
      <c r="BF61" s="69" t="str">
        <f t="shared" si="4"/>
        <v>Добавить централизованную систему для дифференциации</v>
      </c>
      <c r="BG61" s="69"/>
      <c r="BH61" s="69"/>
    </row>
    <row r="62" spans="1:60" s="68" customFormat="1" ht="0" hidden="1" customHeight="1">
      <c r="A62" s="143" t="s">
        <v>260</v>
      </c>
      <c r="B62" s="143"/>
      <c r="C62" s="143"/>
      <c r="D62" s="143"/>
      <c r="E62" s="1265"/>
      <c r="F62" s="143"/>
      <c r="G62" s="143"/>
      <c r="H62" s="143"/>
      <c r="I62" s="143"/>
      <c r="J62" s="143"/>
      <c r="K62" s="143"/>
      <c r="L62" s="338"/>
      <c r="M62" s="749"/>
      <c r="N62" s="749"/>
      <c r="P62" s="102"/>
      <c r="Q62" s="745"/>
      <c r="R62" s="102"/>
      <c r="S62" s="750"/>
      <c r="T62" s="752" t="s">
        <v>415</v>
      </c>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A62" s="311"/>
      <c r="BB62" s="311"/>
      <c r="BC62" s="311"/>
      <c r="BE62" s="69"/>
      <c r="BF62" s="69" t="str">
        <f t="shared" si="4"/>
        <v>Добавить территорию для дифференциации</v>
      </c>
      <c r="BG62" s="69"/>
      <c r="BH62" s="69"/>
    </row>
    <row r="63" spans="1:60" s="68" customFormat="1" ht="0" hidden="1" customHeight="1">
      <c r="A63" s="143"/>
      <c r="B63" s="143"/>
      <c r="C63" s="143"/>
      <c r="D63" s="143"/>
      <c r="E63" s="143"/>
      <c r="F63" s="143"/>
      <c r="G63" s="143"/>
      <c r="H63" s="143"/>
      <c r="I63" s="143"/>
      <c r="J63" s="143"/>
      <c r="K63" s="143"/>
      <c r="L63" s="338"/>
      <c r="M63" s="749"/>
      <c r="N63" s="749"/>
      <c r="P63" s="102"/>
      <c r="Q63" s="745"/>
      <c r="R63" s="102"/>
      <c r="S63" s="750"/>
      <c r="T63" s="752" t="s">
        <v>447</v>
      </c>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311"/>
      <c r="BA63" s="311"/>
      <c r="BB63" s="311"/>
      <c r="BC63" s="311"/>
      <c r="BE63" s="69"/>
      <c r="BF63" s="69" t="str">
        <f t="shared" si="4"/>
        <v>Добавить наименование тарифа</v>
      </c>
      <c r="BG63" s="69"/>
      <c r="BH63" s="69"/>
    </row>
    <row r="64" spans="1:60" ht="11.25" customHeight="1">
      <c r="M64" s="63"/>
      <c r="N64" s="63"/>
      <c r="O64" s="63"/>
      <c r="P64" s="63"/>
      <c r="Q64" s="63"/>
      <c r="R64" s="12"/>
      <c r="S64" s="12"/>
      <c r="BD64" s="12"/>
      <c r="BE64" s="12"/>
      <c r="BF64" s="12"/>
      <c r="BG64" s="12"/>
      <c r="BH64" s="12"/>
    </row>
    <row r="65" spans="15:55" ht="18.75" customHeight="1">
      <c r="O65" s="63"/>
      <c r="S65" s="196"/>
      <c r="T65" s="1285"/>
      <c r="U65" s="1285"/>
      <c r="V65" s="1285"/>
      <c r="W65" s="1285"/>
      <c r="X65" s="1285"/>
      <c r="Y65" s="1285"/>
      <c r="Z65" s="1285"/>
      <c r="AA65" s="1285"/>
      <c r="AB65" s="1285"/>
      <c r="AC65" s="1285"/>
      <c r="AD65" s="1285"/>
      <c r="AE65" s="1285"/>
      <c r="AF65" s="1285"/>
      <c r="AG65" s="1285"/>
      <c r="AH65" s="1285"/>
      <c r="AI65" s="1285"/>
      <c r="AJ65" s="1285"/>
      <c r="AK65" s="1285"/>
      <c r="AL65" s="1285"/>
      <c r="AM65" s="1285"/>
      <c r="AN65" s="1285"/>
      <c r="AO65" s="1285"/>
      <c r="AP65" s="1285"/>
      <c r="AQ65" s="1285"/>
      <c r="AR65" s="1285"/>
      <c r="AS65" s="1285"/>
      <c r="AT65" s="1285"/>
      <c r="AU65" s="1285"/>
      <c r="AV65" s="1285"/>
      <c r="AW65" s="1285"/>
      <c r="AX65" s="1285"/>
      <c r="AY65" s="1285"/>
      <c r="AZ65" s="1285"/>
      <c r="BA65" s="1285"/>
      <c r="BB65" s="1285"/>
      <c r="BC65" s="1285"/>
    </row>
    <row r="66" spans="15:55" ht="14.25" customHeight="1">
      <c r="O66" s="63"/>
      <c r="T66" s="364"/>
      <c r="U66" s="364"/>
      <c r="V66" s="364"/>
      <c r="W66" s="364"/>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4"/>
      <c r="AZ66" s="364"/>
      <c r="BA66" s="364"/>
      <c r="BB66" s="364"/>
      <c r="BC66" s="364"/>
    </row>
    <row r="67" spans="15:55" ht="18.75" customHeight="1">
      <c r="O67" s="63"/>
      <c r="S67" s="196"/>
      <c r="T67" s="1285"/>
      <c r="U67" s="1285"/>
      <c r="V67" s="1285"/>
      <c r="W67" s="1285"/>
      <c r="X67" s="1285"/>
      <c r="Y67" s="1285"/>
      <c r="Z67" s="1285"/>
      <c r="AA67" s="1285"/>
      <c r="AB67" s="1285"/>
      <c r="AC67" s="1285"/>
      <c r="AD67" s="1285"/>
      <c r="AE67" s="1285"/>
      <c r="AF67" s="1285"/>
      <c r="AG67" s="1285"/>
      <c r="AH67" s="1285"/>
      <c r="AI67" s="1285"/>
      <c r="AJ67" s="1285"/>
      <c r="AK67" s="1285"/>
      <c r="AL67" s="1285"/>
      <c r="AM67" s="1285"/>
      <c r="AN67" s="1285"/>
      <c r="AO67" s="1285"/>
      <c r="AP67" s="1285"/>
      <c r="AQ67" s="1285"/>
      <c r="AR67" s="1285"/>
      <c r="AS67" s="1285"/>
      <c r="AT67" s="1285"/>
      <c r="AU67" s="1285"/>
      <c r="AV67" s="1285"/>
      <c r="AW67" s="1285"/>
      <c r="AX67" s="1285"/>
      <c r="AY67" s="1285"/>
      <c r="AZ67" s="1285"/>
      <c r="BA67" s="1285"/>
      <c r="BB67" s="1285"/>
      <c r="BC67" s="1285"/>
    </row>
    <row r="68" spans="15:55" ht="14.25" customHeight="1">
      <c r="O68" s="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759E2-83D8-CC05-9D5D-462B63D38B93}">
  <sheetPr>
    <tabColor theme="9" tint="-0.249977111117893"/>
  </sheetPr>
  <dimension ref="A1:AF302"/>
  <sheetViews>
    <sheetView showGridLines="0" topLeftCell="D20" zoomScale="90" workbookViewId="0">
      <selection activeCell="R107" sqref="R107"/>
    </sheetView>
  </sheetViews>
  <sheetFormatPr defaultColWidth="9.140625" defaultRowHeight="11.25" customHeight="1"/>
  <cols>
    <col min="1" max="1" width="10.7109375" style="564" hidden="1" customWidth="1"/>
    <col min="2" max="2" width="16.85546875" style="63" hidden="1" customWidth="1"/>
    <col min="3" max="3" width="5.5703125" style="68" hidden="1" customWidth="1"/>
    <col min="4" max="4" width="3.7109375" style="12" customWidth="1"/>
    <col min="5" max="5" width="7.7109375" style="12" customWidth="1"/>
    <col min="6" max="6" width="54.5703125" style="12" customWidth="1"/>
    <col min="7" max="7" width="10.42578125" style="12" customWidth="1"/>
    <col min="8" max="8" width="40.7109375" style="12" hidden="1" customWidth="1"/>
    <col min="9" max="10" width="40.7109375" style="12" customWidth="1"/>
    <col min="11" max="11" width="102.85546875" style="12" customWidth="1"/>
    <col min="12" max="12" width="9.7109375" style="63" hidden="1" customWidth="1"/>
    <col min="13" max="13" width="5.28515625" style="68" customWidth="1"/>
    <col min="14" max="14" width="3.7109375" style="68" customWidth="1"/>
    <col min="15" max="18" width="3.7109375" style="63" customWidth="1"/>
    <col min="19" max="19" width="10.5703125" style="68" customWidth="1"/>
    <col min="20" max="20" width="34.7109375" style="63" customWidth="1"/>
    <col min="21" max="21" width="9.42578125" style="63" customWidth="1"/>
    <col min="22" max="22" width="9.140625" style="307"/>
    <col min="23" max="27" width="9.140625" style="63"/>
    <col min="28" max="32" width="9.140625" style="9"/>
  </cols>
  <sheetData>
    <row r="1" spans="1:32" ht="11.25" hidden="1" customHeight="1"/>
    <row r="2" spans="1:32" ht="23.25" hidden="1" customHeight="1">
      <c r="B2" s="1120"/>
      <c r="C2" s="311" t="s">
        <v>544</v>
      </c>
      <c r="D2" s="56"/>
      <c r="E2" s="309">
        <f>B2</f>
        <v>0</v>
      </c>
      <c r="F2" s="310"/>
      <c r="G2" s="42" t="s">
        <v>545</v>
      </c>
      <c r="H2" s="42" t="s">
        <v>545</v>
      </c>
      <c r="I2" s="42" t="s">
        <v>545</v>
      </c>
      <c r="J2" s="42" t="s">
        <v>545</v>
      </c>
      <c r="K2" s="67" t="s">
        <v>546</v>
      </c>
      <c r="L2" s="306"/>
    </row>
    <row r="3" spans="1:32" s="68" customFormat="1" ht="0.75" hidden="1" customHeight="1">
      <c r="B3" s="1120"/>
      <c r="C3" s="311"/>
      <c r="D3" s="311"/>
      <c r="E3" s="312"/>
      <c r="F3" s="313" t="s">
        <v>547</v>
      </c>
      <c r="G3" s="314"/>
      <c r="H3" s="314">
        <f>H4*H5+H6</f>
        <v>0</v>
      </c>
      <c r="I3" s="314">
        <f>I4*I5+I6</f>
        <v>0</v>
      </c>
      <c r="J3" s="314">
        <f>J4*J5+J6</f>
        <v>0</v>
      </c>
      <c r="K3" s="315"/>
    </row>
    <row r="4" spans="1:32" ht="23.25" hidden="1" customHeight="1">
      <c r="B4" s="1120"/>
      <c r="C4" s="311"/>
      <c r="D4" s="56"/>
      <c r="E4" s="309" t="str">
        <f>B2&amp;".1"</f>
        <v>.1</v>
      </c>
      <c r="F4" s="316" t="s">
        <v>548</v>
      </c>
      <c r="G4" s="317"/>
      <c r="H4" s="304"/>
      <c r="I4" s="304"/>
      <c r="J4" s="304"/>
      <c r="K4" s="67" t="s">
        <v>549</v>
      </c>
      <c r="L4" s="306"/>
    </row>
    <row r="5" spans="1:32" ht="18.75" hidden="1" customHeight="1">
      <c r="B5" s="1120"/>
      <c r="C5" s="311"/>
      <c r="D5" s="56"/>
      <c r="E5" s="309" t="str">
        <f>B2&amp;".2"</f>
        <v>.2</v>
      </c>
      <c r="F5" s="316" t="s">
        <v>550</v>
      </c>
      <c r="G5" s="42" t="s">
        <v>551</v>
      </c>
      <c r="H5" s="304"/>
      <c r="I5" s="304"/>
      <c r="J5" s="304"/>
      <c r="K5" s="67"/>
      <c r="L5" s="306"/>
    </row>
    <row r="6" spans="1:32" ht="18.75" hidden="1" customHeight="1">
      <c r="B6" s="1120"/>
      <c r="C6" s="311"/>
      <c r="D6" s="56"/>
      <c r="E6" s="309" t="str">
        <f>B2&amp;".3"</f>
        <v>.3</v>
      </c>
      <c r="F6" s="316" t="s">
        <v>552</v>
      </c>
      <c r="G6" s="42" t="s">
        <v>551</v>
      </c>
      <c r="H6" s="304"/>
      <c r="I6" s="304"/>
      <c r="J6" s="304"/>
      <c r="K6" s="67"/>
      <c r="L6" s="306"/>
    </row>
    <row r="7" spans="1:32" ht="18.75" hidden="1" customHeight="1">
      <c r="B7" s="1120"/>
      <c r="C7" s="311"/>
      <c r="D7" s="56"/>
      <c r="E7" s="309" t="str">
        <f>B2&amp;".4"</f>
        <v>.4</v>
      </c>
      <c r="F7" s="316" t="s">
        <v>553</v>
      </c>
      <c r="G7" s="42" t="s">
        <v>545</v>
      </c>
      <c r="H7" s="318"/>
      <c r="I7" s="318"/>
      <c r="J7" s="318"/>
      <c r="K7" s="67"/>
      <c r="L7" s="306"/>
    </row>
    <row r="8" spans="1:32" s="63" customFormat="1" ht="11.25" hidden="1" customHeight="1">
      <c r="A8" s="564"/>
      <c r="C8" s="68"/>
      <c r="H8" s="63">
        <v>4</v>
      </c>
      <c r="I8" s="63">
        <v>4</v>
      </c>
      <c r="J8" s="63">
        <v>4</v>
      </c>
      <c r="M8" s="68"/>
      <c r="N8" s="68"/>
      <c r="S8" s="68"/>
    </row>
    <row r="9" spans="1:32" s="63" customFormat="1" ht="22.5" hidden="1" customHeight="1">
      <c r="A9" s="564"/>
      <c r="C9" s="68"/>
      <c r="D9" s="302"/>
      <c r="E9" s="42"/>
      <c r="F9" s="303"/>
      <c r="G9" s="42" t="s">
        <v>551</v>
      </c>
      <c r="H9" s="304"/>
      <c r="I9" s="304"/>
      <c r="J9" s="304"/>
      <c r="K9" s="305" t="s">
        <v>554</v>
      </c>
      <c r="L9" s="306"/>
      <c r="M9" s="68"/>
      <c r="N9" s="68"/>
      <c r="S9" s="68"/>
      <c r="V9" s="307"/>
      <c r="AB9" s="9"/>
      <c r="AC9" s="9"/>
      <c r="AD9" s="9"/>
      <c r="AE9" s="9"/>
      <c r="AF9" s="9"/>
    </row>
    <row r="10" spans="1:32" ht="11.25" hidden="1" customHeight="1"/>
    <row r="11" spans="1:32" ht="18.75" hidden="1" customHeight="1">
      <c r="D11" s="56"/>
      <c r="E11" s="309"/>
      <c r="F11" s="303"/>
      <c r="G11" s="42" t="s">
        <v>555</v>
      </c>
      <c r="H11" s="304"/>
      <c r="I11" s="304"/>
      <c r="J11" s="304"/>
      <c r="K11" s="67" t="s">
        <v>556</v>
      </c>
      <c r="L11" s="306"/>
    </row>
    <row r="12" spans="1:32" ht="11.25" hidden="1" customHeight="1"/>
    <row r="13" spans="1:32" ht="22.5" hidden="1" customHeight="1">
      <c r="D13" s="56"/>
      <c r="E13" s="309"/>
      <c r="F13" s="303"/>
      <c r="G13" s="386" t="s">
        <v>557</v>
      </c>
      <c r="H13" s="308"/>
      <c r="I13" s="308"/>
      <c r="J13" s="308"/>
      <c r="K13" s="424" t="s">
        <v>558</v>
      </c>
      <c r="L13" s="306"/>
    </row>
    <row r="14" spans="1:32" ht="11.25" hidden="1" customHeight="1"/>
    <row r="15" spans="1:32" ht="22.5" hidden="1" customHeight="1">
      <c r="D15" s="56"/>
      <c r="E15" s="309"/>
      <c r="F15" s="303"/>
      <c r="G15" s="42" t="s">
        <v>559</v>
      </c>
      <c r="H15" s="308"/>
      <c r="I15" s="308"/>
      <c r="J15" s="308"/>
      <c r="K15" s="67" t="s">
        <v>560</v>
      </c>
      <c r="L15" s="306"/>
    </row>
    <row r="16" spans="1:32" ht="11.25" hidden="1" customHeight="1"/>
    <row r="17" spans="1:27" ht="22.5" hidden="1" customHeight="1">
      <c r="D17" s="56"/>
      <c r="E17" s="309"/>
      <c r="F17" s="303"/>
      <c r="G17" s="42" t="s">
        <v>561</v>
      </c>
      <c r="H17" s="308"/>
      <c r="I17" s="308"/>
      <c r="J17" s="308"/>
      <c r="K17" s="67" t="s">
        <v>562</v>
      </c>
      <c r="L17" s="306"/>
    </row>
    <row r="18" spans="1:27" ht="11.25" hidden="1" customHeight="1"/>
    <row r="19" spans="1:27" s="9" customFormat="1" ht="11.25" hidden="1" customHeight="1">
      <c r="A19" s="564"/>
      <c r="B19" s="63"/>
      <c r="C19" s="68"/>
      <c r="K19" s="9">
        <v>4</v>
      </c>
      <c r="L19" s="63"/>
      <c r="M19" s="68"/>
      <c r="N19" s="68"/>
      <c r="O19" s="63"/>
      <c r="P19" s="63"/>
      <c r="Q19" s="63"/>
      <c r="R19" s="63"/>
      <c r="S19" s="68"/>
      <c r="T19" s="63"/>
      <c r="U19" s="63"/>
      <c r="V19" s="307"/>
      <c r="W19" s="63"/>
      <c r="X19" s="63"/>
      <c r="Y19" s="63"/>
      <c r="Z19" s="63"/>
      <c r="AA19" s="63"/>
    </row>
    <row r="21" spans="1:27" ht="24" customHeight="1">
      <c r="E21" s="1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249"/>
      <c r="G21" s="1249"/>
      <c r="H21" s="1249"/>
      <c r="I21" s="1249"/>
      <c r="J21" s="1082"/>
      <c r="K21" s="60"/>
    </row>
    <row r="22" spans="1:27" ht="24" customHeight="1">
      <c r="E22" s="1194" t="str">
        <f>IF(org=0,"Не определено",org)</f>
        <v>АО "ХТК"</v>
      </c>
      <c r="F22" s="1194"/>
      <c r="G22" s="1194"/>
      <c r="H22" s="1194"/>
      <c r="I22" s="1194"/>
      <c r="J22" s="1081"/>
    </row>
    <row r="23" spans="1:27" ht="11.25" customHeight="1">
      <c r="E23" s="657"/>
      <c r="F23" s="657"/>
      <c r="G23" s="657"/>
      <c r="H23" s="657"/>
      <c r="I23" s="657"/>
      <c r="J23" s="657" t="s">
        <v>18</v>
      </c>
    </row>
    <row r="24" spans="1:27" s="68" customFormat="1" ht="0.75" customHeight="1">
      <c r="A24" s="311"/>
      <c r="H24" s="505"/>
      <c r="I24" s="505" t="s">
        <v>114</v>
      </c>
      <c r="J24" s="505" t="s">
        <v>119</v>
      </c>
    </row>
    <row r="25" spans="1:27" ht="11.25" customHeight="1">
      <c r="E25" s="400"/>
      <c r="F25" s="1347" t="s">
        <v>101</v>
      </c>
      <c r="G25" s="1348"/>
      <c r="H25" s="848" t="str">
        <f>IF(H24="","",INDEX(DIFFERENTIATION_UNMERGE_VD,MATCH(H24,DIFFERENTIATION_ID_DIFF,0)))</f>
        <v/>
      </c>
      <c r="I25" s="848" t="str">
        <f>IF(I24="","",INDEX(DIFFERENTIATION_UNMERGE_VD,MATCH(I24,DIFFERENTIATION_ID_DIFF,0)))</f>
        <v>Передача. Тепловая энергия</v>
      </c>
      <c r="J25" s="848" t="str">
        <f>IF(J24="","",INDEX(DIFFERENTIATION_UNMERGE_VD,MATCH(J24,DIFFERENTIATION_ID_DIFF,0)))</f>
        <v>Передача. Тепловая энергия</v>
      </c>
      <c r="K25" s="1146"/>
    </row>
    <row r="26" spans="1:27" ht="11.25" customHeight="1">
      <c r="E26" s="400"/>
      <c r="F26" s="1347" t="s">
        <v>563</v>
      </c>
      <c r="G26" s="1348"/>
      <c r="H26" s="848" t="str">
        <f>IF(H24="","",INDEX(DIFFERENTIATION_UNMERGE_AREA,MATCH(H24,DIFFERENTIATION_ID_DIFF,0)))</f>
        <v/>
      </c>
      <c r="I26" s="848" t="str">
        <f>IF(I24="","",INDEX(DIFFERENTIATION_UNMERGE_AREA,MATCH(I24,DIFFERENTIATION_ID_DIFF,0)))</f>
        <v>Территория 1</v>
      </c>
      <c r="J26" s="848" t="str">
        <f>IF(J24="","",INDEX(DIFFERENTIATION_UNMERGE_AREA,MATCH(J24,DIFFERENTIATION_ID_DIFF,0)))</f>
        <v>Территория 1</v>
      </c>
      <c r="K26" s="1146"/>
    </row>
    <row r="27" spans="1:27" ht="11.25" customHeight="1">
      <c r="E27" s="400"/>
      <c r="F27" s="1347" t="s">
        <v>564</v>
      </c>
      <c r="G27" s="1348"/>
      <c r="H27" s="848" t="str">
        <f>IF(H24="","",INDEX(DIFFERENTIATION_UNMERGE_SYSTEM,MATCH(H24,DIFFERENTIATION_ID_DIFF,0)))</f>
        <v/>
      </c>
      <c r="I27" s="848" t="str">
        <f>IF(I24="","",INDEX(DIFFERENTIATION_UNMERGE_SYSTEM,MATCH(I24,DIFFERENTIATION_ID_DIFF,0)))</f>
        <v>система теплоснабжения г. Кировск</v>
      </c>
      <c r="J27" s="848" t="str">
        <f>IF(J24="","",INDEX(DIFFERENTIATION_UNMERGE_SYSTEM,MATCH(J24,DIFFERENTIATION_ID_DIFF,0)))</f>
        <v>система теплоснабжения н.п. Титан</v>
      </c>
      <c r="K27" s="1146"/>
    </row>
    <row r="28" spans="1:27" ht="11.25" customHeight="1">
      <c r="E28" s="1349" t="s">
        <v>299</v>
      </c>
      <c r="F28" s="1350"/>
      <c r="G28" s="1350"/>
      <c r="H28" s="503"/>
      <c r="I28" s="503"/>
      <c r="J28" s="503"/>
      <c r="K28" s="1146"/>
    </row>
    <row r="29" spans="1:27" ht="22.5" customHeight="1">
      <c r="E29" s="42" t="s">
        <v>84</v>
      </c>
      <c r="F29" s="42" t="s">
        <v>301</v>
      </c>
      <c r="G29" s="42" t="s">
        <v>565</v>
      </c>
      <c r="H29" s="42" t="s">
        <v>302</v>
      </c>
      <c r="I29" s="42" t="s">
        <v>302</v>
      </c>
      <c r="J29" s="42" t="s">
        <v>302</v>
      </c>
      <c r="K29" s="1146"/>
    </row>
    <row r="30" spans="1:27" ht="18.75" customHeight="1">
      <c r="D30" s="56"/>
      <c r="E30" s="1059">
        <f>FHD_NUM_P_1</f>
        <v>1</v>
      </c>
      <c r="F30" s="150" t="str">
        <f>FHD_P_1</f>
        <v>Выручка от регулируемого вида деятельности с распределением по видам деятельности</v>
      </c>
      <c r="G30" s="1060" t="s">
        <v>551</v>
      </c>
      <c r="H30" s="319"/>
      <c r="I30" s="319">
        <v>589064.85</v>
      </c>
      <c r="J30" s="319">
        <v>36031.61</v>
      </c>
      <c r="K30" s="112" t="str">
        <f>FHD_NOTE_P_1</f>
        <v>Указывается выручка от регулируемого вида деятельности с распределением по видам деятельности.</v>
      </c>
      <c r="L30" s="306"/>
    </row>
    <row r="31" spans="1:27" ht="11.25" customHeight="1">
      <c r="D31" s="56"/>
      <c r="E31" s="1059">
        <f>FHD_NUM_P_2</f>
        <v>2</v>
      </c>
      <c r="F31" s="150" t="str">
        <f>FHD_P_2</f>
        <v>Себестоимость производимых товаров (оказываемых услуг) по регулируемому виду деятельности, включая:</v>
      </c>
      <c r="G31" s="1060" t="s">
        <v>551</v>
      </c>
      <c r="H31" s="320">
        <f>SUMIF($L32:$L71,$L31,H32:H71)</f>
        <v>0</v>
      </c>
      <c r="I31" s="320">
        <f>SUMIF($L32:$L71,$L31,I32:I71)</f>
        <v>510660.44</v>
      </c>
      <c r="J31" s="320">
        <f>SUMIF($L32:$L71,$L31,J32:J71)</f>
        <v>34080.92</v>
      </c>
      <c r="K31" s="112" t="str">
        <f>FHD_NOTE_P_2</f>
        <v>Указывается суммарная себестоимость производимых товаров.</v>
      </c>
      <c r="L31" s="68" t="s">
        <v>566</v>
      </c>
    </row>
    <row r="32" spans="1:27" ht="11.25" customHeight="1">
      <c r="D32" s="56"/>
      <c r="E32" s="1059" t="str">
        <f>FHD_NUM_P_3</f>
        <v>2.1</v>
      </c>
      <c r="F32" s="1072" t="str">
        <f>FHD_P_3</f>
        <v>Расходы на приобретаемую тепловую энергию (мощность), теплоноситель</v>
      </c>
      <c r="G32" s="1060" t="s">
        <v>551</v>
      </c>
      <c r="H32" s="319"/>
      <c r="I32" s="319">
        <v>170797.68</v>
      </c>
      <c r="J32" s="319">
        <v>20314.78</v>
      </c>
      <c r="K32" s="112" t="str">
        <f>FHD_NOTE_P_3</f>
        <v/>
      </c>
      <c r="L32" s="68" t="str">
        <f t="shared" ref="L32:L70" si="0">IF((LEN(E32)-LEN(SUBSTITUTE(E32,".","")))/LEN(".")=1,"p","")</f>
        <v>p</v>
      </c>
    </row>
    <row r="33" spans="1:32" ht="11.25" customHeight="1">
      <c r="A33" s="1351" t="s">
        <v>567</v>
      </c>
      <c r="D33" s="56"/>
      <c r="E33" s="1059" t="str">
        <f>FHD_NUM_P_4</f>
        <v>2.2</v>
      </c>
      <c r="F33" s="107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060" t="s">
        <v>551</v>
      </c>
      <c r="H33" s="320">
        <f>SUMIF($F34:$F40,$F3,H34:H40)</f>
        <v>0</v>
      </c>
      <c r="I33" s="320">
        <f>SUMIF($F34:$F40,$F3,I34:I40)</f>
        <v>0</v>
      </c>
      <c r="J33" s="320">
        <f>SUMIF($F34:$F40,$F3,J34:J40)</f>
        <v>0</v>
      </c>
      <c r="K33" s="112" t="str">
        <f>FHD_NOTE_P_4</f>
        <v>Указываются суммарные расходы на приобретение топлива всех видов.</v>
      </c>
      <c r="L33" s="68" t="str">
        <f t="shared" si="0"/>
        <v>p</v>
      </c>
    </row>
    <row r="34" spans="1:32" s="201" customFormat="1" ht="0.75" customHeight="1">
      <c r="A34" s="1351"/>
      <c r="B34" s="1352" t="str">
        <f>E33&amp;".0"</f>
        <v>2.2.0</v>
      </c>
      <c r="C34" s="311"/>
      <c r="D34" s="322"/>
      <c r="E34" s="1061"/>
      <c r="F34" s="1073"/>
      <c r="G34" s="1062"/>
      <c r="H34" s="283"/>
      <c r="I34" s="283"/>
      <c r="J34" s="283"/>
      <c r="K34" s="1079"/>
      <c r="L34" s="68" t="str">
        <f t="shared" si="0"/>
        <v/>
      </c>
      <c r="M34" s="68"/>
      <c r="N34" s="68"/>
      <c r="O34" s="68"/>
      <c r="P34" s="68"/>
      <c r="Q34" s="68"/>
      <c r="R34" s="68"/>
      <c r="S34" s="68"/>
      <c r="T34" s="68"/>
      <c r="U34" s="68"/>
      <c r="V34" s="323"/>
      <c r="W34" s="68"/>
      <c r="X34" s="68"/>
      <c r="Y34" s="68"/>
      <c r="Z34" s="68"/>
      <c r="AA34" s="68"/>
      <c r="AB34" s="140"/>
      <c r="AC34" s="140"/>
      <c r="AD34" s="140"/>
      <c r="AE34" s="140"/>
      <c r="AF34" s="140"/>
    </row>
    <row r="35" spans="1:32" s="201" customFormat="1" ht="0.75" customHeight="1">
      <c r="A35" s="1351"/>
      <c r="B35" s="1352"/>
      <c r="C35" s="311"/>
      <c r="D35" s="322"/>
      <c r="E35" s="1063"/>
      <c r="F35" s="1074"/>
      <c r="G35" s="1062"/>
      <c r="H35" s="324"/>
      <c r="I35" s="324"/>
      <c r="J35" s="324"/>
      <c r="K35" s="1079"/>
      <c r="L35" s="68" t="str">
        <f t="shared" si="0"/>
        <v/>
      </c>
      <c r="M35" s="68"/>
      <c r="N35" s="68"/>
      <c r="O35" s="68"/>
      <c r="P35" s="68"/>
      <c r="Q35" s="68"/>
      <c r="R35" s="68"/>
      <c r="S35" s="68"/>
      <c r="T35" s="68"/>
      <c r="U35" s="68"/>
      <c r="V35" s="323"/>
      <c r="W35" s="68"/>
      <c r="X35" s="68"/>
      <c r="Y35" s="68"/>
      <c r="Z35" s="68"/>
      <c r="AA35" s="68"/>
      <c r="AB35" s="140"/>
      <c r="AC35" s="140"/>
      <c r="AD35" s="140"/>
      <c r="AE35" s="140"/>
      <c r="AF35" s="140"/>
    </row>
    <row r="36" spans="1:32" s="201" customFormat="1" ht="0.75" customHeight="1">
      <c r="A36" s="1351"/>
      <c r="B36" s="1352"/>
      <c r="C36" s="311"/>
      <c r="D36" s="322"/>
      <c r="E36" s="1063"/>
      <c r="F36" s="1074"/>
      <c r="G36" s="1062"/>
      <c r="H36" s="324"/>
      <c r="I36" s="324"/>
      <c r="J36" s="324"/>
      <c r="K36" s="1079"/>
      <c r="L36" s="68" t="str">
        <f t="shared" si="0"/>
        <v/>
      </c>
      <c r="M36" s="68"/>
      <c r="N36" s="68"/>
      <c r="O36" s="68"/>
      <c r="P36" s="68"/>
      <c r="Q36" s="68"/>
      <c r="R36" s="68"/>
      <c r="S36" s="68"/>
      <c r="T36" s="68"/>
      <c r="U36" s="68"/>
      <c r="V36" s="323"/>
      <c r="W36" s="68"/>
      <c r="X36" s="68"/>
      <c r="Y36" s="68"/>
      <c r="Z36" s="68"/>
      <c r="AA36" s="68"/>
      <c r="AB36" s="140"/>
      <c r="AC36" s="140"/>
      <c r="AD36" s="140"/>
      <c r="AE36" s="140"/>
      <c r="AF36" s="140"/>
    </row>
    <row r="37" spans="1:32" s="201" customFormat="1" ht="0.75" customHeight="1">
      <c r="A37" s="1351"/>
      <c r="B37" s="1352"/>
      <c r="C37" s="311"/>
      <c r="D37" s="322"/>
      <c r="E37" s="1063"/>
      <c r="F37" s="1074"/>
      <c r="G37" s="1062"/>
      <c r="H37" s="324"/>
      <c r="I37" s="324"/>
      <c r="J37" s="324"/>
      <c r="K37" s="1079"/>
      <c r="L37" s="68" t="str">
        <f t="shared" si="0"/>
        <v/>
      </c>
      <c r="M37" s="68"/>
      <c r="N37" s="68"/>
      <c r="O37" s="68"/>
      <c r="P37" s="68"/>
      <c r="Q37" s="68"/>
      <c r="R37" s="68"/>
      <c r="S37" s="68"/>
      <c r="T37" s="68"/>
      <c r="U37" s="68"/>
      <c r="V37" s="323"/>
      <c r="W37" s="68"/>
      <c r="X37" s="68"/>
      <c r="Y37" s="68"/>
      <c r="Z37" s="68"/>
      <c r="AA37" s="68"/>
      <c r="AB37" s="140"/>
      <c r="AC37" s="140"/>
      <c r="AD37" s="140"/>
      <c r="AE37" s="140"/>
      <c r="AF37" s="140"/>
    </row>
    <row r="38" spans="1:32" s="201" customFormat="1" ht="0.75" customHeight="1">
      <c r="A38" s="1351"/>
      <c r="B38" s="1352"/>
      <c r="C38" s="311"/>
      <c r="D38" s="322"/>
      <c r="E38" s="1063"/>
      <c r="F38" s="1074"/>
      <c r="G38" s="1062"/>
      <c r="H38" s="324"/>
      <c r="I38" s="324"/>
      <c r="J38" s="324"/>
      <c r="K38" s="1079"/>
      <c r="L38" s="68" t="str">
        <f t="shared" si="0"/>
        <v/>
      </c>
      <c r="M38" s="68"/>
      <c r="N38" s="68"/>
      <c r="O38" s="68"/>
      <c r="P38" s="68"/>
      <c r="Q38" s="68"/>
      <c r="R38" s="68"/>
      <c r="S38" s="68"/>
      <c r="T38" s="68"/>
      <c r="U38" s="68"/>
      <c r="V38" s="323"/>
      <c r="W38" s="68"/>
      <c r="X38" s="68"/>
      <c r="Y38" s="68"/>
      <c r="Z38" s="68"/>
      <c r="AA38" s="68"/>
      <c r="AB38" s="140"/>
      <c r="AC38" s="140"/>
      <c r="AD38" s="140"/>
      <c r="AE38" s="140"/>
      <c r="AF38" s="140"/>
    </row>
    <row r="39" spans="1:32" s="201" customFormat="1" ht="0.75" customHeight="1">
      <c r="A39" s="1351"/>
      <c r="B39" s="1352"/>
      <c r="C39" s="311"/>
      <c r="D39" s="322"/>
      <c r="E39" s="1063"/>
      <c r="F39" s="1074"/>
      <c r="G39" s="1062"/>
      <c r="H39" s="283"/>
      <c r="I39" s="283"/>
      <c r="J39" s="283"/>
      <c r="K39" s="1079"/>
      <c r="L39" s="68" t="str">
        <f t="shared" si="0"/>
        <v/>
      </c>
      <c r="M39" s="68"/>
      <c r="N39" s="68"/>
      <c r="O39" s="68"/>
      <c r="P39" s="68"/>
      <c r="Q39" s="68"/>
      <c r="R39" s="68"/>
      <c r="S39" s="68"/>
      <c r="T39" s="68"/>
      <c r="U39" s="68"/>
      <c r="V39" s="323"/>
      <c r="W39" s="68"/>
      <c r="X39" s="68"/>
      <c r="Y39" s="68"/>
      <c r="Z39" s="68"/>
      <c r="AA39" s="68"/>
      <c r="AB39" s="140"/>
      <c r="AC39" s="140"/>
      <c r="AD39" s="140"/>
      <c r="AE39" s="140"/>
      <c r="AF39" s="140"/>
    </row>
    <row r="40" spans="1:32" s="63" customFormat="1" ht="15" customHeight="1">
      <c r="A40" s="1351"/>
      <c r="C40" s="68"/>
      <c r="D40" s="76"/>
      <c r="E40" s="1064"/>
      <c r="F40" s="1075" t="s">
        <v>568</v>
      </c>
      <c r="G40" s="1065"/>
      <c r="H40" s="327"/>
      <c r="I40" s="327"/>
      <c r="J40" s="327"/>
      <c r="K40" s="199"/>
      <c r="L40" s="68" t="str">
        <f t="shared" si="0"/>
        <v/>
      </c>
      <c r="M40" s="68"/>
      <c r="N40" s="68"/>
      <c r="S40" s="68"/>
      <c r="V40" s="307"/>
      <c r="AB40" s="9"/>
      <c r="AC40" s="9"/>
      <c r="AD40" s="9"/>
      <c r="AE40" s="9"/>
      <c r="AF40" s="9"/>
    </row>
    <row r="41" spans="1:32" ht="11.25" hidden="1" customHeight="1">
      <c r="A41" s="1351" t="s">
        <v>569</v>
      </c>
      <c r="D41" s="56"/>
      <c r="E41" s="1059" t="str">
        <f>FHD_NUM_P_5</f>
        <v/>
      </c>
      <c r="F41" s="1072" t="str">
        <f>FHD_P_5</f>
        <v/>
      </c>
      <c r="G41" s="1060" t="s">
        <v>551</v>
      </c>
      <c r="H41" s="319"/>
      <c r="I41" s="319"/>
      <c r="J41" s="319"/>
      <c r="K41" s="112" t="str">
        <f>FHD_NOTE_P_5</f>
        <v/>
      </c>
      <c r="L41" s="68" t="str">
        <f t="shared" si="0"/>
        <v/>
      </c>
    </row>
    <row r="42" spans="1:32" ht="11.25" hidden="1" customHeight="1">
      <c r="A42" s="1351"/>
      <c r="D42" s="56"/>
      <c r="E42" s="1059" t="str">
        <f>FHD_NUM_P_6</f>
        <v/>
      </c>
      <c r="F42" s="1072" t="str">
        <f>FHD_P_6</f>
        <v/>
      </c>
      <c r="G42" s="1060" t="s">
        <v>551</v>
      </c>
      <c r="H42" s="319"/>
      <c r="I42" s="319"/>
      <c r="J42" s="319"/>
      <c r="K42" s="112" t="str">
        <f>FHD_NOTE_P_6</f>
        <v/>
      </c>
      <c r="L42" s="68" t="str">
        <f t="shared" si="0"/>
        <v/>
      </c>
    </row>
    <row r="43" spans="1:32" ht="11.25" hidden="1" customHeight="1">
      <c r="A43" s="1351"/>
      <c r="D43" s="56"/>
      <c r="E43" s="1059" t="str">
        <f>FHD_NUM_P_7</f>
        <v/>
      </c>
      <c r="F43" s="1072" t="str">
        <f>FHD_P_7</f>
        <v/>
      </c>
      <c r="G43" s="1060" t="s">
        <v>551</v>
      </c>
      <c r="H43" s="319"/>
      <c r="I43" s="319"/>
      <c r="J43" s="319"/>
      <c r="K43" s="112" t="str">
        <f>FHD_NOTE_P_7</f>
        <v/>
      </c>
      <c r="L43" s="68" t="str">
        <f t="shared" si="0"/>
        <v/>
      </c>
    </row>
    <row r="44" spans="1:32" ht="11.25" customHeight="1">
      <c r="D44" s="56"/>
      <c r="E44" s="1059" t="str">
        <f>FHD_NUM_P_8</f>
        <v>2.3</v>
      </c>
      <c r="F44" s="1072" t="str">
        <f>FHD_P_8</f>
        <v>Расходы на приобретаемую электрическую энергию (мощность), используемую в технологическом процессе</v>
      </c>
      <c r="G44" s="1060" t="s">
        <v>551</v>
      </c>
      <c r="H44" s="319"/>
      <c r="I44" s="319">
        <v>29124.84</v>
      </c>
      <c r="J44" s="319">
        <v>746.59</v>
      </c>
      <c r="K44" s="112" t="str">
        <f>FHD_NOTE_P_8</f>
        <v/>
      </c>
      <c r="L44" s="68" t="str">
        <f t="shared" si="0"/>
        <v>p</v>
      </c>
    </row>
    <row r="45" spans="1:32" ht="11.25" customHeight="1">
      <c r="D45" s="56"/>
      <c r="E45" s="1059" t="str">
        <f>FHD_NUM_P_9</f>
        <v>2.3.1</v>
      </c>
      <c r="F45" s="1076" t="str">
        <f>FHD_P_9</f>
        <v>Средневзвешенная стоимость 1 кВт.ч (с учетом мощности)</v>
      </c>
      <c r="G45" s="1060" t="s">
        <v>570</v>
      </c>
      <c r="H45" s="319"/>
      <c r="I45" s="319">
        <v>3.15</v>
      </c>
      <c r="J45" s="319">
        <v>3.81</v>
      </c>
      <c r="K45" s="112" t="str">
        <f>FHD_NOTE_P_9</f>
        <v/>
      </c>
      <c r="L45" s="68" t="str">
        <f t="shared" si="0"/>
        <v/>
      </c>
    </row>
    <row r="46" spans="1:32" s="63" customFormat="1" ht="11.25" customHeight="1">
      <c r="A46" s="564"/>
      <c r="C46" s="68"/>
      <c r="D46" s="328"/>
      <c r="E46" s="1059" t="str">
        <f>FHD_NUM_P_10</f>
        <v>2.3.2</v>
      </c>
      <c r="F46" s="1076" t="str">
        <f>FHD_P_10</f>
        <v>Объём приобретения электрической энергии</v>
      </c>
      <c r="G46" s="1060" t="s">
        <v>571</v>
      </c>
      <c r="H46" s="319"/>
      <c r="I46" s="319">
        <v>9241.56</v>
      </c>
      <c r="J46" s="319">
        <v>196.08</v>
      </c>
      <c r="K46" s="112" t="str">
        <f>FHD_NOTE_P_10</f>
        <v/>
      </c>
      <c r="L46" s="68" t="str">
        <f t="shared" si="0"/>
        <v/>
      </c>
      <c r="M46" s="68"/>
      <c r="N46" s="68"/>
      <c r="S46" s="68"/>
      <c r="V46" s="307"/>
      <c r="AB46" s="9"/>
      <c r="AC46" s="9"/>
      <c r="AD46" s="9"/>
      <c r="AE46" s="9"/>
      <c r="AF46" s="9"/>
    </row>
    <row r="47" spans="1:32" s="63" customFormat="1" ht="11.25" customHeight="1">
      <c r="A47" s="566" t="s">
        <v>572</v>
      </c>
      <c r="C47" s="68"/>
      <c r="D47" s="329"/>
      <c r="E47" s="1059" t="str">
        <f>FHD_NUM_P_11</f>
        <v>2.4</v>
      </c>
      <c r="F47" s="1072" t="str">
        <f>FHD_P_11</f>
        <v>Расходы на приобретение холодной воды, используемой в технологическом процессе</v>
      </c>
      <c r="G47" s="1060" t="s">
        <v>551</v>
      </c>
      <c r="H47" s="319"/>
      <c r="I47" s="319">
        <v>152.86000000000001</v>
      </c>
      <c r="J47" s="319">
        <v>1.63</v>
      </c>
      <c r="K47" s="112" t="str">
        <f>FHD_NOTE_P_11</f>
        <v/>
      </c>
      <c r="L47" s="68" t="str">
        <f t="shared" si="0"/>
        <v>p</v>
      </c>
      <c r="M47" s="68"/>
      <c r="N47" s="68"/>
      <c r="S47" s="68"/>
      <c r="V47" s="307"/>
      <c r="AB47" s="9"/>
      <c r="AC47" s="9"/>
      <c r="AD47" s="9"/>
      <c r="AE47" s="9"/>
      <c r="AF47" s="9"/>
    </row>
    <row r="48" spans="1:32" s="63" customFormat="1" ht="18" customHeight="1">
      <c r="A48" s="566" t="s">
        <v>573</v>
      </c>
      <c r="C48" s="68"/>
      <c r="D48" s="56"/>
      <c r="E48" s="1059" t="str">
        <f>FHD_NUM_P_12</f>
        <v>2.5</v>
      </c>
      <c r="F48" s="1072" t="str">
        <f>FHD_P_12</f>
        <v>Расходы на химические реагенты, используемые в технологическом процессе</v>
      </c>
      <c r="G48" s="1060" t="s">
        <v>551</v>
      </c>
      <c r="H48" s="331"/>
      <c r="I48" s="331">
        <v>52.84</v>
      </c>
      <c r="J48" s="331">
        <v>1.24</v>
      </c>
      <c r="K48" s="112" t="str">
        <f>FHD_NOTE_P_12</f>
        <v/>
      </c>
      <c r="L48" s="68" t="str">
        <f t="shared" si="0"/>
        <v>p</v>
      </c>
      <c r="M48" s="68"/>
      <c r="N48" s="68"/>
      <c r="S48" s="68"/>
      <c r="V48" s="307"/>
      <c r="AB48" s="9"/>
      <c r="AC48" s="9"/>
      <c r="AD48" s="9"/>
      <c r="AE48" s="9"/>
      <c r="AF48" s="9"/>
    </row>
    <row r="49" spans="1:32" s="417" customFormat="1" ht="11.25" customHeight="1">
      <c r="A49" s="565"/>
      <c r="C49" s="291"/>
      <c r="D49" s="374"/>
      <c r="E49" s="1059" t="str">
        <f>FHD_NUM_P_13</f>
        <v>2.6</v>
      </c>
      <c r="F49" s="107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060" t="s">
        <v>551</v>
      </c>
      <c r="H49" s="319"/>
      <c r="I49" s="319">
        <v>42717.13</v>
      </c>
      <c r="J49" s="319">
        <v>5901.65</v>
      </c>
      <c r="K49" s="112" t="str">
        <f>FHD_NOTE_P_13</f>
        <v/>
      </c>
      <c r="L49" s="68" t="str">
        <f t="shared" si="0"/>
        <v>p</v>
      </c>
      <c r="M49" s="291"/>
      <c r="N49" s="291"/>
      <c r="S49" s="291"/>
      <c r="V49" s="418"/>
      <c r="AB49" s="31"/>
      <c r="AC49" s="31"/>
      <c r="AD49" s="31"/>
      <c r="AE49" s="31"/>
      <c r="AF49" s="31"/>
    </row>
    <row r="50" spans="1:32" s="417" customFormat="1" ht="11.25" customHeight="1">
      <c r="A50" s="565"/>
      <c r="C50" s="291"/>
      <c r="D50" s="374"/>
      <c r="E50" s="1059" t="str">
        <f>FHD_NUM_P_14</f>
        <v>2.6.1</v>
      </c>
      <c r="F50" s="1076" t="str">
        <f>FHD_P_14</f>
        <v>Расходы на оплату труда основного производственного персонала</v>
      </c>
      <c r="G50" s="1060" t="s">
        <v>551</v>
      </c>
      <c r="H50" s="319"/>
      <c r="I50" s="319">
        <v>33421.82</v>
      </c>
      <c r="J50" s="319">
        <v>3899.9</v>
      </c>
      <c r="K50" s="112" t="str">
        <f>FHD_NOTE_P_14</f>
        <v/>
      </c>
      <c r="L50" s="68" t="str">
        <f t="shared" si="0"/>
        <v/>
      </c>
      <c r="M50" s="291"/>
      <c r="N50" s="291"/>
      <c r="S50" s="291"/>
      <c r="V50" s="418"/>
      <c r="AB50" s="31"/>
      <c r="AC50" s="31"/>
      <c r="AD50" s="31"/>
      <c r="AE50" s="31"/>
      <c r="AF50" s="31"/>
    </row>
    <row r="51" spans="1:32" s="417" customFormat="1" ht="11.25" customHeight="1">
      <c r="A51" s="565"/>
      <c r="C51" s="291"/>
      <c r="D51" s="374"/>
      <c r="E51" s="1059" t="str">
        <f>FHD_NUM_P_15</f>
        <v>2.6.2</v>
      </c>
      <c r="F51" s="1076" t="str">
        <f>FHD_P_15</f>
        <v>Страховые взносы на обязательное социальное страхование, выплачиваемые из фонда оплаты труда основного производственного персонала</v>
      </c>
      <c r="G51" s="1060" t="s">
        <v>551</v>
      </c>
      <c r="H51" s="319"/>
      <c r="I51" s="319">
        <v>9295.31</v>
      </c>
      <c r="J51" s="319">
        <v>2001.75</v>
      </c>
      <c r="K51" s="112" t="str">
        <f>FHD_NOTE_P_15</f>
        <v/>
      </c>
      <c r="L51" s="68" t="str">
        <f t="shared" si="0"/>
        <v/>
      </c>
      <c r="M51" s="291"/>
      <c r="N51" s="291"/>
      <c r="S51" s="291"/>
      <c r="V51" s="418"/>
      <c r="AB51" s="31"/>
      <c r="AC51" s="31"/>
      <c r="AD51" s="31"/>
      <c r="AE51" s="31"/>
      <c r="AF51" s="31"/>
    </row>
    <row r="52" spans="1:32" s="63" customFormat="1" ht="11.25" customHeight="1">
      <c r="A52" s="564"/>
      <c r="C52" s="68"/>
      <c r="D52" s="56"/>
      <c r="E52" s="1059" t="str">
        <f>FHD_NUM_P_16</f>
        <v>2.7</v>
      </c>
      <c r="F52" s="107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060" t="s">
        <v>551</v>
      </c>
      <c r="H52" s="319"/>
      <c r="I52" s="319">
        <v>37539.08</v>
      </c>
      <c r="J52" s="319">
        <v>2578.08</v>
      </c>
      <c r="K52" s="112" t="str">
        <f>FHD_NOTE_P_16</f>
        <v/>
      </c>
      <c r="L52" s="68" t="str">
        <f t="shared" si="0"/>
        <v>p</v>
      </c>
      <c r="M52" s="68"/>
      <c r="N52" s="68"/>
      <c r="S52" s="68"/>
      <c r="V52" s="307"/>
      <c r="AB52" s="9"/>
      <c r="AC52" s="9"/>
      <c r="AD52" s="9"/>
      <c r="AE52" s="9"/>
      <c r="AF52" s="9"/>
    </row>
    <row r="53" spans="1:32" s="63" customFormat="1" ht="11.25" customHeight="1">
      <c r="A53" s="564"/>
      <c r="C53" s="68"/>
      <c r="D53" s="56"/>
      <c r="E53" s="1059" t="str">
        <f>FHD_NUM_P_17</f>
        <v>2.7.1</v>
      </c>
      <c r="F53" s="1076" t="str">
        <f>FHD_P_17</f>
        <v>Расходы на оплату труда административно-управленческого персонала</v>
      </c>
      <c r="G53" s="1060" t="s">
        <v>551</v>
      </c>
      <c r="H53" s="319"/>
      <c r="I53" s="319">
        <v>29319.09</v>
      </c>
      <c r="J53" s="319">
        <v>2018.59</v>
      </c>
      <c r="K53" s="112" t="str">
        <f>FHD_NOTE_P_17</f>
        <v/>
      </c>
      <c r="L53" s="68" t="str">
        <f t="shared" si="0"/>
        <v/>
      </c>
      <c r="M53" s="68"/>
      <c r="N53" s="68"/>
      <c r="S53" s="68"/>
      <c r="V53" s="307"/>
      <c r="AB53" s="9"/>
      <c r="AC53" s="9"/>
      <c r="AD53" s="9"/>
      <c r="AE53" s="9"/>
      <c r="AF53" s="9"/>
    </row>
    <row r="54" spans="1:32" s="63" customFormat="1" ht="11.25" customHeight="1">
      <c r="A54" s="564"/>
      <c r="C54" s="68"/>
      <c r="D54" s="56"/>
      <c r="E54" s="1059" t="str">
        <f>FHD_NUM_P_18</f>
        <v>2.7.2</v>
      </c>
      <c r="F54" s="10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060" t="s">
        <v>551</v>
      </c>
      <c r="H54" s="319"/>
      <c r="I54" s="319">
        <v>8219.99</v>
      </c>
      <c r="J54" s="319">
        <v>559.49</v>
      </c>
      <c r="K54" s="112" t="str">
        <f>FHD_NOTE_P_18</f>
        <v/>
      </c>
      <c r="L54" s="68" t="str">
        <f t="shared" si="0"/>
        <v/>
      </c>
      <c r="M54" s="68"/>
      <c r="N54" s="68"/>
      <c r="S54" s="68"/>
      <c r="V54" s="307"/>
      <c r="AB54" s="9"/>
      <c r="AC54" s="9"/>
      <c r="AD54" s="9"/>
      <c r="AE54" s="9"/>
      <c r="AF54" s="9"/>
    </row>
    <row r="55" spans="1:32" s="63" customFormat="1" ht="11.25" customHeight="1">
      <c r="A55" s="564"/>
      <c r="C55" s="68"/>
      <c r="D55" s="329"/>
      <c r="E55" s="1059" t="str">
        <f>FHD_NUM_P_19</f>
        <v>2.8</v>
      </c>
      <c r="F55" s="1072" t="str">
        <f>FHD_P_19</f>
        <v>Расходы на амортизацию основных средств и нематериальных активов</v>
      </c>
      <c r="G55" s="1060" t="s">
        <v>551</v>
      </c>
      <c r="H55" s="319"/>
      <c r="I55" s="319">
        <v>174891.56</v>
      </c>
      <c r="J55" s="319">
        <v>2246.0500000000002</v>
      </c>
      <c r="K55" s="112" t="str">
        <f>FHD_NOTE_P_19</f>
        <v/>
      </c>
      <c r="L55" s="68" t="str">
        <f t="shared" si="0"/>
        <v>p</v>
      </c>
      <c r="M55" s="68"/>
      <c r="N55" s="68"/>
      <c r="S55" s="68"/>
      <c r="V55" s="307"/>
      <c r="AB55" s="9"/>
      <c r="AC55" s="9"/>
      <c r="AD55" s="9"/>
      <c r="AE55" s="9"/>
      <c r="AF55" s="9"/>
    </row>
    <row r="56" spans="1:32" s="63" customFormat="1" ht="11.25" customHeight="1">
      <c r="A56" s="564"/>
      <c r="C56" s="68"/>
      <c r="D56" s="329"/>
      <c r="E56" s="1059" t="str">
        <f>FHD_NUM_P_20</f>
        <v>2.8.1</v>
      </c>
      <c r="F56" s="1076" t="str">
        <f>FHD_P_20</f>
        <v>Расходы на амортизацию основных средств</v>
      </c>
      <c r="G56" s="1060" t="s">
        <v>551</v>
      </c>
      <c r="H56" s="319"/>
      <c r="I56" s="319">
        <v>174891.56</v>
      </c>
      <c r="J56" s="319">
        <v>0</v>
      </c>
      <c r="K56" s="112" t="str">
        <f>FHD_NOTE_P_20</f>
        <v/>
      </c>
      <c r="L56" s="68" t="str">
        <f t="shared" si="0"/>
        <v/>
      </c>
      <c r="M56" s="68"/>
      <c r="N56" s="68"/>
      <c r="S56" s="68"/>
      <c r="V56" s="307"/>
      <c r="AB56" s="9"/>
      <c r="AC56" s="9"/>
      <c r="AD56" s="9"/>
      <c r="AE56" s="9"/>
      <c r="AF56" s="9"/>
    </row>
    <row r="57" spans="1:32" s="63" customFormat="1" ht="11.25" customHeight="1">
      <c r="A57" s="564"/>
      <c r="C57" s="68"/>
      <c r="D57" s="329"/>
      <c r="E57" s="1059" t="str">
        <f>FHD_NUM_P_21</f>
        <v>2.8.2</v>
      </c>
      <c r="F57" s="1076" t="str">
        <f>FHD_P_21</f>
        <v>Расходы на амортизацию нематериальных активов</v>
      </c>
      <c r="G57" s="1060" t="s">
        <v>551</v>
      </c>
      <c r="H57" s="319"/>
      <c r="I57" s="319">
        <v>0</v>
      </c>
      <c r="J57" s="319">
        <v>0</v>
      </c>
      <c r="K57" s="112" t="str">
        <f>FHD_NOTE_P_21</f>
        <v/>
      </c>
      <c r="L57" s="68" t="str">
        <f t="shared" si="0"/>
        <v/>
      </c>
      <c r="M57" s="68"/>
      <c r="N57" s="68"/>
      <c r="S57" s="68"/>
      <c r="V57" s="307"/>
      <c r="AB57" s="9"/>
      <c r="AC57" s="9"/>
      <c r="AD57" s="9"/>
      <c r="AE57" s="9"/>
      <c r="AF57" s="9"/>
    </row>
    <row r="58" spans="1:32" s="63" customFormat="1" ht="11.25" customHeight="1">
      <c r="A58" s="564"/>
      <c r="C58" s="68"/>
      <c r="D58" s="56"/>
      <c r="E58" s="1059" t="str">
        <f>FHD_NUM_P_22</f>
        <v>2.9</v>
      </c>
      <c r="F58" s="1072" t="str">
        <f>FHD_P_22</f>
        <v>Расходы на аренду имущества, используемого для осуществления регулируемого вида деятельности</v>
      </c>
      <c r="G58" s="1060" t="s">
        <v>551</v>
      </c>
      <c r="H58" s="319"/>
      <c r="I58" s="319">
        <v>912.33</v>
      </c>
      <c r="J58" s="319">
        <v>0</v>
      </c>
      <c r="K58" s="112" t="str">
        <f>FHD_NOTE_P_22</f>
        <v/>
      </c>
      <c r="L58" s="68" t="str">
        <f t="shared" si="0"/>
        <v>p</v>
      </c>
      <c r="M58" s="68"/>
      <c r="N58" s="68"/>
      <c r="S58" s="68"/>
      <c r="V58" s="307"/>
      <c r="AB58" s="9"/>
      <c r="AC58" s="9"/>
      <c r="AD58" s="9"/>
      <c r="AE58" s="9"/>
      <c r="AF58" s="9"/>
    </row>
    <row r="59" spans="1:32" s="63" customFormat="1" ht="11.25" customHeight="1">
      <c r="A59" s="564"/>
      <c r="C59" s="68"/>
      <c r="D59" s="329"/>
      <c r="E59" s="1059" t="str">
        <f>FHD_NUM_P_23</f>
        <v>2.10</v>
      </c>
      <c r="F59" s="1072" t="str">
        <f>FHD_P_23</f>
        <v>Общепроизводственные расходы, в том числе:</v>
      </c>
      <c r="G59" s="1060" t="s">
        <v>551</v>
      </c>
      <c r="H59" s="319"/>
      <c r="I59" s="319">
        <v>46267.92</v>
      </c>
      <c r="J59" s="319">
        <v>1792.47</v>
      </c>
      <c r="K59" s="112" t="str">
        <f>FHD_NOTE_P_23</f>
        <v>Указывается общая сумма общепроизводственных расходов.</v>
      </c>
      <c r="L59" s="68" t="str">
        <f t="shared" si="0"/>
        <v>p</v>
      </c>
      <c r="M59" s="68"/>
      <c r="N59" s="68"/>
      <c r="S59" s="68"/>
      <c r="V59" s="307"/>
      <c r="AB59" s="9"/>
      <c r="AC59" s="9"/>
      <c r="AD59" s="9"/>
      <c r="AE59" s="9"/>
      <c r="AF59" s="9"/>
    </row>
    <row r="60" spans="1:32" s="63" customFormat="1" ht="11.25" customHeight="1">
      <c r="A60" s="564"/>
      <c r="C60" s="68"/>
      <c r="D60" s="329"/>
      <c r="E60" s="1059" t="str">
        <f>FHD_NUM_P_24</f>
        <v>2.10.1</v>
      </c>
      <c r="F60" s="1076" t="str">
        <f>FHD_P_24</f>
        <v>Расходы на текущий ремонт</v>
      </c>
      <c r="G60" s="1060" t="s">
        <v>551</v>
      </c>
      <c r="H60" s="319"/>
      <c r="I60" s="319">
        <v>20582.419999999998</v>
      </c>
      <c r="J60" s="319">
        <v>27.51</v>
      </c>
      <c r="K60" s="112" t="str">
        <f>FHD_NOTE_P_24</f>
        <v>Указываются расходы на текущий ремонт, отнесенные к общепроизводственным расходам.</v>
      </c>
      <c r="L60" s="68" t="str">
        <f t="shared" si="0"/>
        <v/>
      </c>
      <c r="M60" s="68"/>
      <c r="N60" s="68"/>
      <c r="S60" s="68"/>
      <c r="V60" s="307"/>
      <c r="AB60" s="9"/>
      <c r="AC60" s="9"/>
      <c r="AD60" s="9"/>
      <c r="AE60" s="9"/>
      <c r="AF60" s="9"/>
    </row>
    <row r="61" spans="1:32" s="63" customFormat="1" ht="11.25" customHeight="1">
      <c r="A61" s="564"/>
      <c r="C61" s="68"/>
      <c r="D61" s="329"/>
      <c r="E61" s="1059" t="str">
        <f>FHD_NUM_P_25</f>
        <v>2.10.2</v>
      </c>
      <c r="F61" s="1076" t="str">
        <f>FHD_P_25</f>
        <v>Расходы на капитальный ремонт</v>
      </c>
      <c r="G61" s="1060" t="s">
        <v>551</v>
      </c>
      <c r="H61" s="319"/>
      <c r="I61" s="319">
        <v>0</v>
      </c>
      <c r="J61" s="319">
        <v>0</v>
      </c>
      <c r="K61" s="112" t="str">
        <f>FHD_NOTE_P_25</f>
        <v>Указываются расходы на капитальный ремонт, отнесенные к общепроизводственным расходам.</v>
      </c>
      <c r="L61" s="68" t="str">
        <f t="shared" si="0"/>
        <v/>
      </c>
      <c r="M61" s="68"/>
      <c r="N61" s="68"/>
      <c r="S61" s="68"/>
      <c r="V61" s="307"/>
      <c r="AB61" s="9"/>
      <c r="AC61" s="9"/>
      <c r="AD61" s="9"/>
      <c r="AE61" s="9"/>
      <c r="AF61" s="9"/>
    </row>
    <row r="62" spans="1:32" s="63" customFormat="1" ht="11.25" customHeight="1">
      <c r="A62" s="564"/>
      <c r="C62" s="68"/>
      <c r="D62" s="56"/>
      <c r="E62" s="1059" t="str">
        <f>FHD_NUM_P_26</f>
        <v>2.11</v>
      </c>
      <c r="F62" s="1072" t="str">
        <f>FHD_P_26</f>
        <v>Общехозяйственные расходы, в том числе:</v>
      </c>
      <c r="G62" s="1060" t="s">
        <v>551</v>
      </c>
      <c r="H62" s="319"/>
      <c r="I62" s="319">
        <v>8204.2000000000007</v>
      </c>
      <c r="J62" s="319">
        <v>498.43</v>
      </c>
      <c r="K62" s="112" t="str">
        <f>FHD_NOTE_P_26</f>
        <v>Указывается общая сумма общехозяйственных расходов.</v>
      </c>
      <c r="L62" s="68" t="str">
        <f t="shared" si="0"/>
        <v>p</v>
      </c>
      <c r="M62" s="68"/>
      <c r="N62" s="68"/>
      <c r="S62" s="68"/>
      <c r="V62" s="307"/>
      <c r="AB62" s="9"/>
      <c r="AC62" s="9"/>
      <c r="AD62" s="9"/>
      <c r="AE62" s="9"/>
      <c r="AF62" s="9"/>
    </row>
    <row r="63" spans="1:32" s="63" customFormat="1" ht="11.25" customHeight="1">
      <c r="A63" s="564"/>
      <c r="C63" s="68"/>
      <c r="D63" s="56"/>
      <c r="E63" s="1059" t="str">
        <f>FHD_NUM_P_27</f>
        <v>2.11.1</v>
      </c>
      <c r="F63" s="1076" t="str">
        <f>FHD_P_27</f>
        <v>Расходы на текущий ремонт</v>
      </c>
      <c r="G63" s="1060" t="s">
        <v>551</v>
      </c>
      <c r="H63" s="319"/>
      <c r="I63" s="319">
        <v>0</v>
      </c>
      <c r="J63" s="319">
        <v>0</v>
      </c>
      <c r="K63" s="112" t="str">
        <f>FHD_NOTE_P_27</f>
        <v>Указываются расходы на текущий ремонт, отнесенные к общехозяйственным расходам.</v>
      </c>
      <c r="L63" s="68" t="str">
        <f t="shared" si="0"/>
        <v/>
      </c>
      <c r="M63" s="68"/>
      <c r="N63" s="68"/>
      <c r="S63" s="68"/>
      <c r="V63" s="307"/>
      <c r="AB63" s="9"/>
      <c r="AC63" s="9"/>
      <c r="AD63" s="9"/>
      <c r="AE63" s="9"/>
      <c r="AF63" s="9"/>
    </row>
    <row r="64" spans="1:32" s="63" customFormat="1" ht="11.25" customHeight="1">
      <c r="A64" s="564"/>
      <c r="C64" s="68"/>
      <c r="D64" s="56"/>
      <c r="E64" s="1059" t="str">
        <f>FHD_NUM_P_28</f>
        <v>2.11.2</v>
      </c>
      <c r="F64" s="1076" t="str">
        <f>FHD_P_28</f>
        <v>Расходы на капитальный ремонт</v>
      </c>
      <c r="G64" s="1060" t="s">
        <v>551</v>
      </c>
      <c r="H64" s="319"/>
      <c r="I64" s="319">
        <v>0</v>
      </c>
      <c r="J64" s="319">
        <v>0</v>
      </c>
      <c r="K64" s="112" t="str">
        <f>FHD_NOTE_P_28</f>
        <v>Указываются расходы на капитальный ремонт, отнесенные к общехозяйственным расходам.</v>
      </c>
      <c r="L64" s="68" t="str">
        <f t="shared" si="0"/>
        <v/>
      </c>
      <c r="M64" s="68"/>
      <c r="N64" s="68"/>
      <c r="S64" s="68"/>
      <c r="V64" s="307"/>
      <c r="AB64" s="9"/>
      <c r="AC64" s="9"/>
      <c r="AD64" s="9"/>
      <c r="AE64" s="9"/>
      <c r="AF64" s="9"/>
    </row>
    <row r="65" spans="1:32" s="63" customFormat="1" ht="11.25" customHeight="1">
      <c r="A65" s="564"/>
      <c r="C65" s="68"/>
      <c r="D65" s="56"/>
      <c r="E65" s="1059" t="str">
        <f>FHD_NUM_P_29</f>
        <v>2.12</v>
      </c>
      <c r="F65" s="1072" t="str">
        <f>FHD_P_29</f>
        <v>Расходы на капитальный и текущий ремонт основных средств</v>
      </c>
      <c r="G65" s="1060" t="s">
        <v>551</v>
      </c>
      <c r="H65" s="319"/>
      <c r="I65" s="319">
        <v>0</v>
      </c>
      <c r="J65" s="319">
        <v>0</v>
      </c>
      <c r="K65" s="11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68" t="str">
        <f t="shared" si="0"/>
        <v>p</v>
      </c>
      <c r="M65" s="68"/>
      <c r="N65" s="68"/>
      <c r="S65" s="68"/>
      <c r="V65" s="307"/>
      <c r="AB65" s="9"/>
      <c r="AC65" s="9"/>
      <c r="AD65" s="9"/>
      <c r="AE65" s="9"/>
      <c r="AF65" s="9"/>
    </row>
    <row r="66" spans="1:32" s="63" customFormat="1" ht="11.25" customHeight="1">
      <c r="A66" s="564"/>
      <c r="C66" s="68"/>
      <c r="D66" s="56"/>
      <c r="E66" s="1059" t="str">
        <f>FHD_NUM_P_30</f>
        <v>2.12.1</v>
      </c>
      <c r="F66" s="10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060" t="s">
        <v>305</v>
      </c>
      <c r="H66" s="111" t="s">
        <v>574</v>
      </c>
      <c r="I66" s="111" t="s">
        <v>574</v>
      </c>
      <c r="J66" s="111" t="s">
        <v>574</v>
      </c>
      <c r="K66" s="112" t="str">
        <f>FHD_NOTE_P_30</f>
        <v/>
      </c>
      <c r="L66" s="68" t="str">
        <f t="shared" si="0"/>
        <v/>
      </c>
      <c r="M66" s="68">
        <f>IFERROR(MATCH("есть",B_FHD_FLAG_INDEX_1,0),0)</f>
        <v>0</v>
      </c>
      <c r="N66" s="68"/>
      <c r="S66" s="68"/>
      <c r="V66" s="307"/>
      <c r="AB66" s="9"/>
      <c r="AC66" s="9"/>
      <c r="AD66" s="9"/>
      <c r="AE66" s="9"/>
      <c r="AF66" s="9"/>
    </row>
    <row r="67" spans="1:32" s="63" customFormat="1" ht="22.5" hidden="1" customHeight="1">
      <c r="A67" s="1351" t="s">
        <v>575</v>
      </c>
      <c r="C67" s="68"/>
      <c r="D67" s="56"/>
      <c r="E67" s="1059" t="str">
        <f>FHD_NUM_P_31</f>
        <v/>
      </c>
      <c r="F67" s="1072" t="str">
        <f>FHD_P_31</f>
        <v/>
      </c>
      <c r="G67" s="1060" t="s">
        <v>551</v>
      </c>
      <c r="H67" s="319"/>
      <c r="I67" s="319"/>
      <c r="J67" s="319"/>
      <c r="K67" s="112" t="str">
        <f>FHD_NOTE_P_31</f>
        <v/>
      </c>
      <c r="L67" s="68" t="str">
        <f t="shared" si="0"/>
        <v/>
      </c>
      <c r="M67" s="68"/>
      <c r="N67" s="68"/>
      <c r="S67" s="68"/>
      <c r="V67" s="307"/>
      <c r="AB67" s="9"/>
      <c r="AC67" s="9"/>
      <c r="AD67" s="9"/>
      <c r="AE67" s="9"/>
      <c r="AF67" s="9"/>
    </row>
    <row r="68" spans="1:32" s="63" customFormat="1" ht="45" hidden="1" customHeight="1">
      <c r="A68" s="1351"/>
      <c r="C68" s="68"/>
      <c r="D68" s="56"/>
      <c r="E68" s="1059" t="str">
        <f>FHD_NUM_P_32</f>
        <v/>
      </c>
      <c r="F68" s="1076" t="str">
        <f>FHD_P_32</f>
        <v/>
      </c>
      <c r="G68" s="1060" t="s">
        <v>305</v>
      </c>
      <c r="H68" s="111" t="s">
        <v>574</v>
      </c>
      <c r="I68" s="111" t="s">
        <v>574</v>
      </c>
      <c r="J68" s="111" t="s">
        <v>574</v>
      </c>
      <c r="K68" s="112" t="str">
        <f>FHD_NOTE_P_32</f>
        <v/>
      </c>
      <c r="L68" s="68" t="str">
        <f t="shared" si="0"/>
        <v/>
      </c>
      <c r="M68" s="68">
        <f>IFERROR(MATCH("есть",B_FHD_FLAG_INDEX_2,0),0)</f>
        <v>0</v>
      </c>
      <c r="N68" s="68"/>
      <c r="S68" s="68"/>
      <c r="V68" s="307"/>
      <c r="AB68" s="9"/>
      <c r="AC68" s="9"/>
      <c r="AD68" s="9"/>
      <c r="AE68" s="9"/>
      <c r="AF68" s="9"/>
    </row>
    <row r="69" spans="1:32" s="63" customFormat="1" ht="11.25" customHeight="1">
      <c r="A69" s="564"/>
      <c r="C69" s="68"/>
      <c r="D69" s="56"/>
      <c r="E69" s="1059" t="str">
        <f>FHD_NUM_P_33</f>
        <v>2.13</v>
      </c>
      <c r="F69" s="32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066" t="s">
        <v>551</v>
      </c>
      <c r="H69" s="333">
        <f>SUM(H70:H71)</f>
        <v>0</v>
      </c>
      <c r="I69" s="333">
        <f>SUM(I70:I71)</f>
        <v>0</v>
      </c>
      <c r="J69" s="333">
        <f>SUM(J70:J71)</f>
        <v>0</v>
      </c>
      <c r="K69" s="11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68" t="str">
        <f t="shared" si="0"/>
        <v>p</v>
      </c>
      <c r="M69" s="68"/>
      <c r="N69" s="68"/>
      <c r="S69" s="68"/>
      <c r="V69" s="307"/>
      <c r="AB69" s="9"/>
      <c r="AC69" s="9"/>
      <c r="AD69" s="9"/>
      <c r="AE69" s="9"/>
      <c r="AF69" s="9"/>
    </row>
    <row r="70" spans="1:32" s="68" customFormat="1" ht="0.75" customHeight="1">
      <c r="A70" s="311"/>
      <c r="D70" s="311"/>
      <c r="E70" s="1067" t="str">
        <f>E69&amp;".0"</f>
        <v>2.13.0</v>
      </c>
      <c r="F70" s="568"/>
      <c r="G70" s="1067"/>
      <c r="H70" s="569"/>
      <c r="I70" s="569"/>
      <c r="J70" s="569"/>
      <c r="K70" s="570"/>
      <c r="L70" s="68" t="str">
        <f t="shared" si="0"/>
        <v/>
      </c>
    </row>
    <row r="71" spans="1:32" s="63" customFormat="1" ht="14.25" customHeight="1">
      <c r="A71" s="564"/>
      <c r="C71" s="68"/>
      <c r="D71" s="76"/>
      <c r="E71" s="1064"/>
      <c r="F71" s="109" t="s">
        <v>576</v>
      </c>
      <c r="G71" s="1065"/>
      <c r="H71" s="327"/>
      <c r="I71" s="327"/>
      <c r="J71" s="327"/>
      <c r="K71" s="199"/>
      <c r="L71" s="68"/>
      <c r="M71" s="68"/>
      <c r="N71" s="68"/>
      <c r="S71" s="68"/>
      <c r="V71" s="307"/>
      <c r="AB71" s="9"/>
      <c r="AC71" s="9"/>
      <c r="AD71" s="9"/>
      <c r="AE71" s="9"/>
      <c r="AF71" s="9"/>
    </row>
    <row r="72" spans="1:32" s="63" customFormat="1" ht="18.75" customHeight="1">
      <c r="A72" s="566" t="s">
        <v>577</v>
      </c>
      <c r="C72" s="68"/>
      <c r="D72" s="56"/>
      <c r="E72" s="1059" t="str">
        <f>FHD_NUM_P_34</f>
        <v>3</v>
      </c>
      <c r="F72" s="150" t="str">
        <f>FHD_P_34</f>
        <v>Валовая прибыль (убытки) от реализации товаров и оказания услуг по регулируемому виду деятельности</v>
      </c>
      <c r="G72" s="1060" t="s">
        <v>551</v>
      </c>
      <c r="H72" s="319"/>
      <c r="I72" s="319">
        <v>74980.61</v>
      </c>
      <c r="J72" s="319">
        <v>1950.69</v>
      </c>
      <c r="K72" s="112" t="str">
        <f>FHD_NOTE_P_34</f>
        <v/>
      </c>
      <c r="L72" s="306"/>
      <c r="M72" s="68"/>
      <c r="N72" s="68"/>
      <c r="S72" s="68"/>
      <c r="V72" s="307"/>
      <c r="AB72" s="9"/>
      <c r="AC72" s="9"/>
      <c r="AD72" s="9"/>
      <c r="AE72" s="9"/>
      <c r="AF72" s="9"/>
    </row>
    <row r="73" spans="1:32" s="63" customFormat="1" ht="18.75" customHeight="1">
      <c r="A73" s="564"/>
      <c r="C73" s="68"/>
      <c r="D73" s="329"/>
      <c r="E73" s="1059" t="str">
        <f>FHD_NUM_P_35</f>
        <v>4</v>
      </c>
      <c r="F73" s="150" t="str">
        <f>FHD_P_35</f>
        <v>Чистая прибыль, полученная от регулируемого вида деятельности, в том числе:</v>
      </c>
      <c r="G73" s="1060" t="s">
        <v>551</v>
      </c>
      <c r="H73" s="319"/>
      <c r="I73" s="319">
        <v>69169.61</v>
      </c>
      <c r="J73" s="319">
        <v>1560.55</v>
      </c>
      <c r="K73" s="112" t="str">
        <f>FHD_NOTE_P_35</f>
        <v>Указывается общая сумма чистой прибыли, полученной от регулируемого вида деятельности.</v>
      </c>
      <c r="L73" s="306"/>
      <c r="M73" s="68"/>
      <c r="N73" s="68"/>
      <c r="S73" s="68"/>
      <c r="V73" s="307"/>
      <c r="AB73" s="9"/>
      <c r="AC73" s="9"/>
      <c r="AD73" s="9"/>
      <c r="AE73" s="9"/>
      <c r="AF73" s="9"/>
    </row>
    <row r="74" spans="1:32" s="63" customFormat="1" ht="18.75" customHeight="1">
      <c r="A74" s="564"/>
      <c r="C74" s="68"/>
      <c r="D74" s="56"/>
      <c r="E74" s="1059" t="str">
        <f>FHD_NUM_P_36</f>
        <v>4.1</v>
      </c>
      <c r="F74" s="107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060" t="s">
        <v>551</v>
      </c>
      <c r="H74" s="319"/>
      <c r="I74" s="319">
        <v>0</v>
      </c>
      <c r="J74" s="319">
        <v>0</v>
      </c>
      <c r="K74" s="112" t="str">
        <f>FHD_NOTE_P_36</f>
        <v/>
      </c>
      <c r="L74" s="306"/>
      <c r="M74" s="68"/>
      <c r="N74" s="68"/>
      <c r="S74" s="68"/>
      <c r="V74" s="307"/>
      <c r="AB74" s="9"/>
      <c r="AC74" s="9"/>
      <c r="AD74" s="9"/>
      <c r="AE74" s="9"/>
      <c r="AF74" s="9"/>
    </row>
    <row r="75" spans="1:32" s="63" customFormat="1" ht="18.75" customHeight="1">
      <c r="A75" s="564"/>
      <c r="C75" s="68"/>
      <c r="D75" s="56"/>
      <c r="E75" s="1059" t="str">
        <f>FHD_NUM_P_37</f>
        <v>5</v>
      </c>
      <c r="F75" s="150" t="str">
        <f>FHD_P_37</f>
        <v>Изменение стоимости основных фондов, в том числе:</v>
      </c>
      <c r="G75" s="1060" t="s">
        <v>551</v>
      </c>
      <c r="H75" s="319"/>
      <c r="I75" s="319">
        <v>368935.04</v>
      </c>
      <c r="J75" s="319">
        <v>0</v>
      </c>
      <c r="K75" s="112" t="str">
        <f>FHD_NOTE_P_37</f>
        <v>Указывается общее изменение стоимости основных фондов.</v>
      </c>
      <c r="L75" s="306"/>
      <c r="M75" s="68"/>
      <c r="N75" s="68"/>
      <c r="S75" s="68"/>
      <c r="V75" s="307"/>
      <c r="AB75" s="9"/>
      <c r="AC75" s="9"/>
      <c r="AD75" s="9"/>
      <c r="AE75" s="9"/>
      <c r="AF75" s="9"/>
    </row>
    <row r="76" spans="1:32" s="63" customFormat="1" ht="18.75" customHeight="1">
      <c r="A76" s="564"/>
      <c r="C76" s="68"/>
      <c r="D76" s="56"/>
      <c r="E76" s="1059" t="str">
        <f>FHD_NUM_P_38</f>
        <v>5.1</v>
      </c>
      <c r="F76" s="1072" t="str">
        <f>FHD_P_38</f>
        <v>Изменение стоимости основных фондов за счет:</v>
      </c>
      <c r="G76" s="1060" t="s">
        <v>551</v>
      </c>
      <c r="H76" s="319"/>
      <c r="I76" s="319">
        <v>368935.04</v>
      </c>
      <c r="J76" s="319">
        <v>0</v>
      </c>
      <c r="K76" s="112" t="str">
        <f>FHD_NOTE_P_38</f>
        <v>Указываются общее изменение стоимости основных фондов за счет их ввода в эксплуатацию и вывода из эксплуатации.</v>
      </c>
      <c r="L76" s="306"/>
      <c r="M76" s="68"/>
      <c r="N76" s="68"/>
      <c r="S76" s="68"/>
      <c r="V76" s="307"/>
      <c r="AB76" s="9"/>
      <c r="AC76" s="9"/>
      <c r="AD76" s="9"/>
      <c r="AE76" s="9"/>
      <c r="AF76" s="9"/>
    </row>
    <row r="77" spans="1:32" s="63" customFormat="1" ht="18.75" customHeight="1">
      <c r="A77" s="564"/>
      <c r="C77" s="68"/>
      <c r="D77" s="56"/>
      <c r="E77" s="1059" t="str">
        <f>FHD_NUM_P_39</f>
        <v>5.1.1</v>
      </c>
      <c r="F77" s="1076" t="str">
        <f>FHD_P_39</f>
        <v>Изменения стоимости основных фондов за счет их ввода в эксплуатацию</v>
      </c>
      <c r="G77" s="1060" t="s">
        <v>551</v>
      </c>
      <c r="H77" s="319"/>
      <c r="I77" s="319">
        <v>360492.38</v>
      </c>
      <c r="J77" s="319">
        <v>0</v>
      </c>
      <c r="K77" s="112" t="str">
        <f>FHD_NOTE_P_39</f>
        <v>Указываются изменение стоимости основных фондов за счет их ввода в эксплуатацию.</v>
      </c>
      <c r="L77" s="306"/>
      <c r="M77" s="68"/>
      <c r="N77" s="68"/>
      <c r="S77" s="68"/>
      <c r="V77" s="307"/>
      <c r="AB77" s="9"/>
      <c r="AC77" s="9"/>
      <c r="AD77" s="9"/>
      <c r="AE77" s="9"/>
      <c r="AF77" s="9"/>
    </row>
    <row r="78" spans="1:32" s="63" customFormat="1" ht="18.75" customHeight="1">
      <c r="A78" s="564"/>
      <c r="C78" s="68"/>
      <c r="D78" s="56"/>
      <c r="E78" s="1059" t="str">
        <f>FHD_NUM_P_40</f>
        <v>5.1.2</v>
      </c>
      <c r="F78" s="1076" t="str">
        <f>FHD_P_40</f>
        <v>Изменения стоимости основных фондов за счет их вывода в эксплуатацию</v>
      </c>
      <c r="G78" s="1060" t="s">
        <v>551</v>
      </c>
      <c r="H78" s="319"/>
      <c r="I78" s="319">
        <v>8442.66</v>
      </c>
      <c r="J78" s="319">
        <v>0</v>
      </c>
      <c r="K78" s="112" t="str">
        <f>FHD_NOTE_P_40</f>
        <v>Указываются изменение стоимости основных фондов за счет их вывода из эксплуатации.</v>
      </c>
      <c r="L78" s="306"/>
      <c r="M78" s="68"/>
      <c r="N78" s="68"/>
      <c r="S78" s="68"/>
      <c r="V78" s="307"/>
      <c r="AB78" s="9"/>
      <c r="AC78" s="9"/>
      <c r="AD78" s="9"/>
      <c r="AE78" s="9"/>
      <c r="AF78" s="9"/>
    </row>
    <row r="79" spans="1:32" s="63" customFormat="1" ht="18.75" customHeight="1">
      <c r="A79" s="564"/>
      <c r="C79" s="68"/>
      <c r="D79" s="56"/>
      <c r="E79" s="1059" t="str">
        <f>FHD_NUM_P_41</f>
        <v>5.2</v>
      </c>
      <c r="F79" s="1072" t="str">
        <f>FHD_P_41</f>
        <v>Изменение стоимости основных фондов за счет их переоценки</v>
      </c>
      <c r="G79" s="1066" t="s">
        <v>551</v>
      </c>
      <c r="H79" s="319"/>
      <c r="I79" s="319">
        <v>0</v>
      </c>
      <c r="J79" s="319">
        <v>0</v>
      </c>
      <c r="K79" s="112" t="str">
        <f>FHD_NOTE_P_41</f>
        <v/>
      </c>
      <c r="L79" s="306"/>
      <c r="M79" s="68"/>
      <c r="N79" s="68"/>
      <c r="S79" s="68"/>
      <c r="V79" s="307"/>
      <c r="AB79" s="9"/>
      <c r="AC79" s="9"/>
      <c r="AD79" s="9"/>
      <c r="AE79" s="9"/>
      <c r="AF79" s="9"/>
    </row>
    <row r="80" spans="1:32" s="63" customFormat="1" ht="18.75" hidden="1" customHeight="1">
      <c r="A80" s="566" t="s">
        <v>578</v>
      </c>
      <c r="C80" s="68"/>
      <c r="D80" s="56"/>
      <c r="E80" s="1059" t="str">
        <f>FHD_NUM_P_42</f>
        <v/>
      </c>
      <c r="F80" s="150" t="str">
        <f>FHD_P_42</f>
        <v/>
      </c>
      <c r="G80" s="1060" t="s">
        <v>551</v>
      </c>
      <c r="H80" s="553"/>
      <c r="I80" s="319" t="s">
        <v>579</v>
      </c>
      <c r="J80" s="553"/>
      <c r="K80" s="112" t="str">
        <f>FHD_NOTE_P_42</f>
        <v/>
      </c>
      <c r="L80" s="306"/>
      <c r="M80" s="68"/>
      <c r="N80" s="68"/>
      <c r="S80" s="68"/>
      <c r="V80" s="307"/>
      <c r="AB80" s="9"/>
      <c r="AC80" s="9"/>
      <c r="AD80" s="9"/>
      <c r="AE80" s="9"/>
      <c r="AF80" s="9"/>
    </row>
    <row r="81" spans="1:32" s="63" customFormat="1" ht="18.75" customHeight="1">
      <c r="A81" s="564"/>
      <c r="C81" s="68" t="s">
        <v>580</v>
      </c>
      <c r="D81" s="56"/>
      <c r="E81" s="1059" t="str">
        <f>FHD_NUM_P_43</f>
        <v>6</v>
      </c>
      <c r="F81" s="150" t="str">
        <f>FHD_P_43</f>
        <v>Годовая бухгалтерская (финансовая) отчетность, включая бухгалтерский баланс и приложения к нему</v>
      </c>
      <c r="G81" s="1060" t="s">
        <v>305</v>
      </c>
      <c r="H81" s="609"/>
      <c r="I81" s="226" t="s">
        <v>579</v>
      </c>
      <c r="J81" s="609" t="s">
        <v>579</v>
      </c>
      <c r="K81" s="112"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306"/>
      <c r="M81" s="68"/>
      <c r="N81" s="68"/>
      <c r="S81" s="68"/>
      <c r="V81" s="307"/>
      <c r="AB81" s="9"/>
      <c r="AC81" s="9"/>
      <c r="AD81" s="9"/>
      <c r="AE81" s="9"/>
      <c r="AF81" s="9"/>
    </row>
    <row r="82" spans="1:32" s="63" customFormat="1" ht="18.75" hidden="1" customHeight="1">
      <c r="A82" s="1351" t="s">
        <v>581</v>
      </c>
      <c r="C82" s="68"/>
      <c r="D82" s="56"/>
      <c r="E82" s="1059" t="str">
        <f>FHD_NUM_P_44</f>
        <v/>
      </c>
      <c r="F82" s="150" t="str">
        <f>FHD_P_44</f>
        <v/>
      </c>
      <c r="G82" s="1060" t="s">
        <v>582</v>
      </c>
      <c r="H82" s="554"/>
      <c r="I82" s="331"/>
      <c r="J82" s="554"/>
      <c r="K82" s="112" t="str">
        <f>FHD_NOTE_P_44</f>
        <v/>
      </c>
      <c r="L82" s="306"/>
      <c r="M82" s="68"/>
      <c r="N82" s="68"/>
      <c r="S82" s="68"/>
      <c r="V82" s="307"/>
      <c r="AB82" s="9"/>
      <c r="AC82" s="9"/>
      <c r="AD82" s="9"/>
      <c r="AE82" s="9"/>
      <c r="AF82" s="9"/>
    </row>
    <row r="83" spans="1:32" s="63" customFormat="1" ht="18.75" hidden="1" customHeight="1">
      <c r="A83" s="1351"/>
      <c r="C83" s="68"/>
      <c r="D83" s="56"/>
      <c r="E83" s="1059" t="str">
        <f>FHD_NUM_P_45</f>
        <v/>
      </c>
      <c r="F83" s="150" t="str">
        <f>FHD_P_45</f>
        <v/>
      </c>
      <c r="G83" s="1060" t="s">
        <v>582</v>
      </c>
      <c r="H83" s="554"/>
      <c r="I83" s="331"/>
      <c r="J83" s="554"/>
      <c r="K83" s="112" t="str">
        <f>FHD_NOTE_P_45</f>
        <v/>
      </c>
      <c r="L83" s="306"/>
      <c r="M83" s="68"/>
      <c r="N83" s="68"/>
      <c r="S83" s="68"/>
      <c r="V83" s="307"/>
      <c r="AB83" s="9"/>
      <c r="AC83" s="9"/>
      <c r="AD83" s="9"/>
      <c r="AE83" s="9"/>
      <c r="AF83" s="9"/>
    </row>
    <row r="84" spans="1:32" s="63" customFormat="1" ht="18.75" hidden="1" customHeight="1">
      <c r="A84" s="1351"/>
      <c r="C84" s="68"/>
      <c r="D84" s="329"/>
      <c r="E84" s="1059" t="str">
        <f>FHD_NUM_P_46</f>
        <v/>
      </c>
      <c r="F84" s="150" t="str">
        <f>FHD_P_46</f>
        <v/>
      </c>
      <c r="G84" s="1060" t="s">
        <v>582</v>
      </c>
      <c r="H84" s="554"/>
      <c r="I84" s="331"/>
      <c r="J84" s="554"/>
      <c r="K84" s="112" t="str">
        <f>FHD_NOTE_P_46</f>
        <v/>
      </c>
      <c r="L84" s="306"/>
      <c r="M84" s="68"/>
      <c r="N84" s="68"/>
      <c r="S84" s="68"/>
      <c r="V84" s="307"/>
      <c r="AB84" s="9"/>
      <c r="AC84" s="9"/>
      <c r="AD84" s="9"/>
      <c r="AE84" s="9"/>
      <c r="AF84" s="9"/>
    </row>
    <row r="85" spans="1:32" s="63" customFormat="1" ht="18.75" hidden="1" customHeight="1">
      <c r="A85" s="1351"/>
      <c r="C85" s="68"/>
      <c r="D85" s="56"/>
      <c r="E85" s="1059" t="str">
        <f>FHD_NUM_P_47</f>
        <v/>
      </c>
      <c r="F85" s="150" t="str">
        <f>FHD_P_47</f>
        <v/>
      </c>
      <c r="G85" s="1060" t="s">
        <v>582</v>
      </c>
      <c r="H85" s="554"/>
      <c r="I85" s="331"/>
      <c r="J85" s="554"/>
      <c r="K85" s="112" t="str">
        <f>FHD_NOTE_P_47</f>
        <v/>
      </c>
      <c r="L85" s="306"/>
      <c r="M85" s="68"/>
      <c r="N85" s="68"/>
      <c r="S85" s="68"/>
      <c r="V85" s="307"/>
      <c r="AB85" s="9"/>
      <c r="AC85" s="9"/>
      <c r="AD85" s="9"/>
      <c r="AE85" s="9"/>
      <c r="AF85" s="9"/>
    </row>
    <row r="86" spans="1:32" s="12" customFormat="1" ht="18.75" hidden="1" customHeight="1">
      <c r="A86" s="1351"/>
      <c r="B86" s="63"/>
      <c r="C86" s="68"/>
      <c r="D86" s="56"/>
      <c r="E86" s="1059" t="str">
        <f>FHD_NUM_P_48</f>
        <v/>
      </c>
      <c r="F86" s="150" t="str">
        <f>FHD_P_48</f>
        <v/>
      </c>
      <c r="G86" s="1060" t="s">
        <v>582</v>
      </c>
      <c r="H86" s="554"/>
      <c r="I86" s="331"/>
      <c r="J86" s="554"/>
      <c r="K86" s="112" t="str">
        <f>FHD_NOTE_P_48</f>
        <v/>
      </c>
      <c r="L86" s="306"/>
      <c r="M86" s="68"/>
      <c r="N86" s="68"/>
      <c r="O86" s="63"/>
      <c r="P86" s="63"/>
      <c r="Q86" s="63"/>
      <c r="R86" s="63"/>
      <c r="S86" s="68"/>
      <c r="T86" s="63"/>
      <c r="U86" s="63"/>
      <c r="V86" s="307"/>
      <c r="W86" s="63"/>
      <c r="X86" s="63"/>
      <c r="Y86" s="63"/>
      <c r="Z86" s="63"/>
      <c r="AA86" s="63"/>
      <c r="AB86" s="9"/>
      <c r="AC86" s="9"/>
      <c r="AD86" s="9"/>
      <c r="AE86" s="9"/>
      <c r="AF86" s="9"/>
    </row>
    <row r="87" spans="1:32" s="12" customFormat="1" ht="18.75" hidden="1" customHeight="1">
      <c r="A87" s="1351"/>
      <c r="B87" s="63"/>
      <c r="C87" s="68"/>
      <c r="D87" s="56"/>
      <c r="E87" s="1059" t="str">
        <f>FHD_NUM_P_49</f>
        <v/>
      </c>
      <c r="F87" s="150" t="str">
        <f>FHD_P_49</f>
        <v/>
      </c>
      <c r="G87" s="1060" t="s">
        <v>582</v>
      </c>
      <c r="H87" s="555">
        <f>SUM(H88:H89)</f>
        <v>0</v>
      </c>
      <c r="I87" s="425">
        <f>SUM(I88:I89)</f>
        <v>0</v>
      </c>
      <c r="J87" s="555">
        <f>SUM(J88:J89)</f>
        <v>0</v>
      </c>
      <c r="K87" s="112" t="str">
        <f>FHD_NOTE_P_49</f>
        <v/>
      </c>
      <c r="L87" s="306"/>
      <c r="M87" s="68"/>
      <c r="N87" s="68"/>
      <c r="O87" s="63"/>
      <c r="P87" s="63"/>
      <c r="Q87" s="63"/>
      <c r="R87" s="63"/>
      <c r="S87" s="68"/>
      <c r="T87" s="63"/>
      <c r="U87" s="63"/>
      <c r="V87" s="307"/>
      <c r="W87" s="63"/>
      <c r="X87" s="63"/>
      <c r="Y87" s="63"/>
      <c r="Z87" s="63"/>
      <c r="AA87" s="63"/>
      <c r="AB87" s="9"/>
      <c r="AC87" s="9"/>
      <c r="AD87" s="9"/>
      <c r="AE87" s="9"/>
      <c r="AF87" s="9"/>
    </row>
    <row r="88" spans="1:32" s="12" customFormat="1" ht="18.75" hidden="1" customHeight="1">
      <c r="A88" s="1351"/>
      <c r="B88" s="63"/>
      <c r="C88" s="68"/>
      <c r="D88" s="56"/>
      <c r="E88" s="1059" t="str">
        <f>FHD_NUM_P_50</f>
        <v/>
      </c>
      <c r="F88" s="150" t="str">
        <f>FHD_P_50</f>
        <v/>
      </c>
      <c r="G88" s="1060" t="s">
        <v>582</v>
      </c>
      <c r="H88" s="554"/>
      <c r="I88" s="331"/>
      <c r="J88" s="554"/>
      <c r="K88" s="112" t="str">
        <f>FHD_NOTE_P_50</f>
        <v/>
      </c>
      <c r="L88" s="306"/>
      <c r="M88" s="68"/>
      <c r="N88" s="68"/>
      <c r="O88" s="63"/>
      <c r="P88" s="63"/>
      <c r="Q88" s="63"/>
      <c r="R88" s="63"/>
      <c r="S88" s="68"/>
      <c r="T88" s="63"/>
      <c r="U88" s="63"/>
      <c r="V88" s="307"/>
      <c r="W88" s="63"/>
      <c r="X88" s="63"/>
      <c r="Y88" s="63"/>
      <c r="Z88" s="63"/>
      <c r="AA88" s="63"/>
      <c r="AB88" s="9"/>
      <c r="AC88" s="9"/>
      <c r="AD88" s="9"/>
      <c r="AE88" s="9"/>
      <c r="AF88" s="9"/>
    </row>
    <row r="89" spans="1:32" s="12" customFormat="1" ht="18.75" hidden="1" customHeight="1">
      <c r="A89" s="1351"/>
      <c r="B89" s="63"/>
      <c r="C89" s="68"/>
      <c r="D89" s="56"/>
      <c r="E89" s="1059" t="str">
        <f>FHD_NUM_P_51</f>
        <v/>
      </c>
      <c r="F89" s="150" t="str">
        <f>FHD_P_51</f>
        <v/>
      </c>
      <c r="G89" s="1060" t="s">
        <v>582</v>
      </c>
      <c r="H89" s="554"/>
      <c r="I89" s="331"/>
      <c r="J89" s="554"/>
      <c r="K89" s="112" t="str">
        <f>FHD_NOTE_P_51</f>
        <v/>
      </c>
      <c r="L89" s="306"/>
      <c r="M89" s="68"/>
      <c r="N89" s="68"/>
      <c r="O89" s="63"/>
      <c r="P89" s="63"/>
      <c r="Q89" s="63"/>
      <c r="R89" s="63"/>
      <c r="S89" s="68"/>
      <c r="T89" s="63"/>
      <c r="U89" s="63"/>
      <c r="V89" s="307"/>
      <c r="W89" s="63"/>
      <c r="X89" s="63"/>
      <c r="Y89" s="63"/>
      <c r="Z89" s="63"/>
      <c r="AA89" s="63"/>
      <c r="AB89" s="9"/>
      <c r="AC89" s="9"/>
      <c r="AD89" s="9"/>
      <c r="AE89" s="9"/>
      <c r="AF89" s="9"/>
    </row>
    <row r="90" spans="1:32" s="12" customFormat="1" ht="18.75" hidden="1" customHeight="1">
      <c r="A90" s="1351"/>
      <c r="B90" s="63"/>
      <c r="C90" s="68"/>
      <c r="D90" s="56"/>
      <c r="E90" s="1059" t="str">
        <f>FHD_NUM_P_52</f>
        <v/>
      </c>
      <c r="F90" s="150" t="str">
        <f>FHD_P_52</f>
        <v/>
      </c>
      <c r="G90" s="1060" t="s">
        <v>557</v>
      </c>
      <c r="H90" s="553"/>
      <c r="I90" s="319"/>
      <c r="J90" s="553"/>
      <c r="K90" s="112" t="str">
        <f>FHD_NOTE_P_52</f>
        <v/>
      </c>
      <c r="L90" s="306"/>
      <c r="M90" s="68"/>
      <c r="N90" s="68"/>
      <c r="O90" s="63"/>
      <c r="P90" s="63"/>
      <c r="Q90" s="63"/>
      <c r="R90" s="63"/>
      <c r="S90" s="68"/>
      <c r="T90" s="63"/>
      <c r="U90" s="63"/>
      <c r="V90" s="307"/>
      <c r="W90" s="63"/>
      <c r="X90" s="63"/>
      <c r="Y90" s="63"/>
      <c r="Z90" s="63"/>
      <c r="AA90" s="63"/>
      <c r="AB90" s="9"/>
      <c r="AC90" s="9"/>
      <c r="AD90" s="9"/>
      <c r="AE90" s="9"/>
      <c r="AF90" s="9"/>
    </row>
    <row r="91" spans="1:32" s="63" customFormat="1" ht="18.75" hidden="1" customHeight="1">
      <c r="A91" s="1351" t="s">
        <v>583</v>
      </c>
      <c r="C91" s="68"/>
      <c r="D91" s="56"/>
      <c r="E91" s="1059" t="str">
        <f>FHD_NUM_P_53</f>
        <v/>
      </c>
      <c r="F91" s="150" t="str">
        <f>FHD_P_53</f>
        <v/>
      </c>
      <c r="G91" s="1060" t="s">
        <v>582</v>
      </c>
      <c r="H91" s="554"/>
      <c r="I91" s="331"/>
      <c r="J91" s="554"/>
      <c r="K91" s="112" t="str">
        <f>FHD_NOTE_P_53</f>
        <v/>
      </c>
      <c r="L91" s="306"/>
      <c r="M91" s="68"/>
      <c r="N91" s="68"/>
      <c r="S91" s="68"/>
      <c r="V91" s="307"/>
      <c r="AB91" s="9"/>
      <c r="AC91" s="9"/>
      <c r="AD91" s="9"/>
      <c r="AE91" s="9"/>
      <c r="AF91" s="9"/>
    </row>
    <row r="92" spans="1:32" s="63" customFormat="1" ht="18.75" hidden="1" customHeight="1">
      <c r="A92" s="1351"/>
      <c r="C92" s="68"/>
      <c r="D92" s="56"/>
      <c r="E92" s="1059" t="str">
        <f>FHD_NUM_P_54</f>
        <v/>
      </c>
      <c r="F92" s="150" t="str">
        <f>FHD_P_54</f>
        <v/>
      </c>
      <c r="G92" s="1060" t="s">
        <v>582</v>
      </c>
      <c r="H92" s="554"/>
      <c r="I92" s="331"/>
      <c r="J92" s="554"/>
      <c r="K92" s="112" t="str">
        <f>FHD_NOTE_P_54</f>
        <v/>
      </c>
      <c r="L92" s="306"/>
      <c r="M92" s="68"/>
      <c r="N92" s="68"/>
      <c r="S92" s="68"/>
      <c r="V92" s="307"/>
      <c r="AB92" s="9"/>
      <c r="AC92" s="9"/>
      <c r="AD92" s="9"/>
      <c r="AE92" s="9"/>
      <c r="AF92" s="9"/>
    </row>
    <row r="93" spans="1:32" s="63" customFormat="1" ht="18.75" hidden="1" customHeight="1">
      <c r="A93" s="1351"/>
      <c r="C93" s="68"/>
      <c r="D93" s="329"/>
      <c r="E93" s="1059" t="str">
        <f>FHD_NUM_P_55</f>
        <v/>
      </c>
      <c r="F93" s="150" t="str">
        <f>FHD_P_55</f>
        <v/>
      </c>
      <c r="G93" s="1068"/>
      <c r="H93" s="554"/>
      <c r="I93" s="331"/>
      <c r="J93" s="554"/>
      <c r="K93" s="112" t="str">
        <f>FHD_NOTE_P_55</f>
        <v/>
      </c>
      <c r="L93" s="306"/>
      <c r="M93" s="68"/>
      <c r="N93" s="68"/>
      <c r="S93" s="68"/>
      <c r="V93" s="307"/>
      <c r="AB93" s="9"/>
      <c r="AC93" s="9"/>
      <c r="AD93" s="9"/>
      <c r="AE93" s="9"/>
      <c r="AF93" s="9"/>
    </row>
    <row r="94" spans="1:32" s="63" customFormat="1" ht="18.75" hidden="1" customHeight="1">
      <c r="A94" s="1351"/>
      <c r="C94" s="68"/>
      <c r="D94" s="56"/>
      <c r="E94" s="1059" t="str">
        <f>FHD_NUM_P_56</f>
        <v/>
      </c>
      <c r="F94" s="150" t="str">
        <f>FHD_P_56</f>
        <v/>
      </c>
      <c r="G94" s="1060" t="s">
        <v>584</v>
      </c>
      <c r="H94" s="554"/>
      <c r="I94" s="331"/>
      <c r="J94" s="554"/>
      <c r="K94" s="112" t="str">
        <f>FHD_NOTE_P_56</f>
        <v/>
      </c>
      <c r="L94" s="306"/>
      <c r="M94" s="68"/>
      <c r="N94" s="68"/>
      <c r="S94" s="68"/>
      <c r="V94" s="307"/>
      <c r="AB94" s="9"/>
      <c r="AC94" s="9"/>
      <c r="AD94" s="9"/>
      <c r="AE94" s="9"/>
      <c r="AF94" s="9"/>
    </row>
    <row r="95" spans="1:32" s="12" customFormat="1" ht="18.75" hidden="1" customHeight="1">
      <c r="A95" s="1351"/>
      <c r="B95" s="63"/>
      <c r="C95" s="68"/>
      <c r="D95" s="56"/>
      <c r="E95" s="1059" t="str">
        <f>FHD_NUM_P_57</f>
        <v/>
      </c>
      <c r="F95" s="150" t="str">
        <f>FHD_P_57</f>
        <v/>
      </c>
      <c r="G95" s="1060" t="s">
        <v>557</v>
      </c>
      <c r="H95" s="553"/>
      <c r="I95" s="319"/>
      <c r="J95" s="553"/>
      <c r="K95" s="112" t="str">
        <f>FHD_NOTE_P_57</f>
        <v/>
      </c>
      <c r="L95" s="306"/>
      <c r="M95" s="68"/>
      <c r="N95" s="68"/>
      <c r="O95" s="63"/>
      <c r="P95" s="63"/>
      <c r="Q95" s="63"/>
      <c r="R95" s="63"/>
      <c r="S95" s="68"/>
      <c r="T95" s="63"/>
      <c r="U95" s="63"/>
      <c r="V95" s="307"/>
      <c r="W95" s="63"/>
      <c r="X95" s="63"/>
      <c r="Y95" s="63"/>
      <c r="Z95" s="63"/>
      <c r="AA95" s="63"/>
      <c r="AB95" s="9"/>
      <c r="AC95" s="9"/>
      <c r="AD95" s="9"/>
      <c r="AE95" s="9"/>
      <c r="AF95" s="9"/>
    </row>
    <row r="96" spans="1:32" ht="18.75" hidden="1" customHeight="1">
      <c r="A96" s="1351" t="s">
        <v>585</v>
      </c>
      <c r="D96" s="56"/>
      <c r="E96" s="1059" t="str">
        <f>FHD_NUM_P_58</f>
        <v/>
      </c>
      <c r="F96" s="150" t="str">
        <f>FHD_P_58</f>
        <v/>
      </c>
      <c r="G96" s="1060" t="s">
        <v>582</v>
      </c>
      <c r="H96" s="554"/>
      <c r="I96" s="331"/>
      <c r="J96" s="554"/>
      <c r="K96" s="112" t="str">
        <f>FHD_NOTE_P_58</f>
        <v/>
      </c>
      <c r="L96" s="306"/>
    </row>
    <row r="97" spans="1:32" ht="18.75" hidden="1" customHeight="1">
      <c r="A97" s="1351"/>
      <c r="D97" s="56"/>
      <c r="E97" s="1059" t="str">
        <f>FHD_NUM_P_59</f>
        <v/>
      </c>
      <c r="F97" s="150" t="str">
        <f>FHD_P_59</f>
        <v/>
      </c>
      <c r="G97" s="1060" t="s">
        <v>582</v>
      </c>
      <c r="H97" s="554"/>
      <c r="I97" s="331"/>
      <c r="J97" s="554"/>
      <c r="K97" s="112" t="str">
        <f>FHD_NOTE_P_59</f>
        <v/>
      </c>
      <c r="L97" s="306"/>
    </row>
    <row r="98" spans="1:32" ht="18.75" hidden="1" customHeight="1">
      <c r="A98" s="1351"/>
      <c r="D98" s="56"/>
      <c r="E98" s="1059" t="str">
        <f>FHD_NUM_P_60</f>
        <v/>
      </c>
      <c r="F98" s="150" t="str">
        <f>FHD_P_60</f>
        <v/>
      </c>
      <c r="G98" s="1060" t="s">
        <v>582</v>
      </c>
      <c r="H98" s="554"/>
      <c r="I98" s="331"/>
      <c r="J98" s="554"/>
      <c r="K98" s="112" t="str">
        <f>FHD_NOTE_P_60</f>
        <v/>
      </c>
      <c r="L98" s="306"/>
    </row>
    <row r="99" spans="1:32" s="63" customFormat="1" ht="18.75" customHeight="1">
      <c r="A99" s="1351" t="s">
        <v>586</v>
      </c>
      <c r="C99" s="68"/>
      <c r="D99" s="56"/>
      <c r="E99" s="1059" t="str">
        <f>FHD_NUM_P_61</f>
        <v>7</v>
      </c>
      <c r="F99" s="1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060" t="s">
        <v>555</v>
      </c>
      <c r="H99" s="556"/>
      <c r="I99" s="421">
        <v>0</v>
      </c>
      <c r="J99" s="556">
        <v>0</v>
      </c>
      <c r="K99" s="112"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306"/>
      <c r="M99" s="68"/>
      <c r="N99" s="68"/>
      <c r="S99" s="68"/>
      <c r="V99" s="307"/>
      <c r="AB99" s="9"/>
      <c r="AC99" s="9"/>
      <c r="AD99" s="9"/>
      <c r="AE99" s="9"/>
      <c r="AF99" s="9"/>
    </row>
    <row r="100" spans="1:32" s="68" customFormat="1" ht="0.75" customHeight="1">
      <c r="A100" s="1351"/>
      <c r="D100" s="311"/>
      <c r="E100" s="1067" t="str">
        <f>E99&amp;".0"</f>
        <v>7.0</v>
      </c>
      <c r="F100" s="571"/>
      <c r="G100" s="1069"/>
      <c r="H100" s="569"/>
      <c r="I100" s="569"/>
      <c r="J100" s="569"/>
      <c r="K100" s="570"/>
    </row>
    <row r="101" spans="1:32" ht="15" customHeight="1">
      <c r="A101" s="1351"/>
      <c r="D101" s="76"/>
      <c r="E101" s="1070"/>
      <c r="F101" s="550" t="s">
        <v>587</v>
      </c>
      <c r="G101" s="1065"/>
      <c r="H101" s="327"/>
      <c r="I101" s="327"/>
      <c r="J101" s="327"/>
      <c r="K101" s="197" t="s">
        <v>588</v>
      </c>
      <c r="L101" s="306"/>
    </row>
    <row r="102" spans="1:32" s="63" customFormat="1" ht="18.75" customHeight="1">
      <c r="A102" s="1351"/>
      <c r="C102" s="68"/>
      <c r="D102" s="56"/>
      <c r="E102" s="1059" t="str">
        <f>FHD_NUM_P_62</f>
        <v>8</v>
      </c>
      <c r="F102" s="150" t="str">
        <f>FHD_P_62</f>
        <v>Тепловая нагрузка по договорам, заключенным в рамках осуществления регулируемых видов деятельности</v>
      </c>
      <c r="G102" s="1071" t="s">
        <v>555</v>
      </c>
      <c r="H102" s="319"/>
      <c r="I102" s="319">
        <v>178.17</v>
      </c>
      <c r="J102" s="319">
        <v>50.1</v>
      </c>
      <c r="K102" s="112"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306"/>
      <c r="M102" s="68"/>
      <c r="N102" s="68"/>
      <c r="S102" s="68"/>
      <c r="V102" s="307"/>
      <c r="AB102" s="9"/>
      <c r="AC102" s="9"/>
      <c r="AD102" s="9"/>
      <c r="AE102" s="9"/>
      <c r="AF102" s="9"/>
    </row>
    <row r="103" spans="1:32" s="63" customFormat="1" ht="18.75" customHeight="1">
      <c r="A103" s="1351"/>
      <c r="C103" s="68"/>
      <c r="D103" s="56"/>
      <c r="E103" s="1059" t="str">
        <f>FHD_NUM_P_63</f>
        <v>9</v>
      </c>
      <c r="F103" s="150" t="str">
        <f>FHD_P_63</f>
        <v>Объем вырабатываемой регулируемой организацией тепловой энергии в рамках осуществления регулируемых видов деятельности</v>
      </c>
      <c r="G103" s="1071" t="s">
        <v>584</v>
      </c>
      <c r="H103" s="331"/>
      <c r="I103" s="331">
        <v>0</v>
      </c>
      <c r="J103" s="331">
        <v>0</v>
      </c>
      <c r="K103" s="11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306"/>
      <c r="M103" s="68"/>
      <c r="N103" s="68"/>
      <c r="S103" s="68"/>
      <c r="V103" s="307"/>
      <c r="AB103" s="9"/>
      <c r="AC103" s="9"/>
      <c r="AD103" s="9"/>
      <c r="AE103" s="9"/>
      <c r="AF103" s="9"/>
    </row>
    <row r="104" spans="1:32" s="63" customFormat="1" ht="18.75" customHeight="1">
      <c r="A104" s="1351"/>
      <c r="C104" s="68"/>
      <c r="D104" s="56"/>
      <c r="E104" s="1059" t="str">
        <f>FHD_NUM_P_64</f>
        <v>9.1</v>
      </c>
      <c r="F104" s="150" t="str">
        <f>FHD_P_64</f>
        <v>Объем приобретаемой регулируемой организацией тепловой энергии в рамках осуществления регулируемых видов деятельности</v>
      </c>
      <c r="G104" s="1071" t="s">
        <v>584</v>
      </c>
      <c r="H104" s="308"/>
      <c r="I104" s="308"/>
      <c r="J104" s="308"/>
      <c r="K104" s="112" t="str">
        <f>FHD_NOTE_P_64</f>
        <v>Информация указывается только едиными теплоснабжающими организациями.</v>
      </c>
      <c r="L104" s="306"/>
      <c r="M104" s="68"/>
      <c r="N104" s="68"/>
      <c r="S104" s="68"/>
      <c r="V104" s="307"/>
      <c r="AB104" s="9"/>
      <c r="AC104" s="9"/>
      <c r="AD104" s="9"/>
      <c r="AE104" s="9"/>
      <c r="AF104" s="9"/>
    </row>
    <row r="105" spans="1:32" s="63" customFormat="1" ht="18.75" customHeight="1">
      <c r="A105" s="1351"/>
      <c r="C105" s="68"/>
      <c r="D105" s="56"/>
      <c r="E105" s="1059" t="str">
        <f>FHD_NUM_P_65</f>
        <v>10</v>
      </c>
      <c r="F105" s="1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071" t="s">
        <v>584</v>
      </c>
      <c r="H105" s="331"/>
      <c r="I105" s="331">
        <v>369.47699999999998</v>
      </c>
      <c r="J105" s="331">
        <v>32.183999999999997</v>
      </c>
      <c r="K105" s="112"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306"/>
      <c r="M105" s="68"/>
      <c r="N105" s="68"/>
      <c r="S105" s="68"/>
      <c r="V105" s="307"/>
      <c r="AB105" s="9"/>
      <c r="AC105" s="9"/>
      <c r="AD105" s="9"/>
      <c r="AE105" s="9"/>
      <c r="AF105" s="9"/>
    </row>
    <row r="106" spans="1:32" s="63" customFormat="1" ht="18.75" customHeight="1">
      <c r="A106" s="1351"/>
      <c r="C106" s="68"/>
      <c r="D106" s="56"/>
      <c r="E106" s="1059" t="str">
        <f>FHD_NUM_P_66</f>
        <v>10.1</v>
      </c>
      <c r="F106" s="1072" t="str">
        <f>FHD_P_66</f>
        <v xml:space="preserve">По приборам учёта </v>
      </c>
      <c r="G106" s="1071" t="s">
        <v>584</v>
      </c>
      <c r="H106" s="331"/>
      <c r="I106" s="331">
        <v>0</v>
      </c>
      <c r="J106" s="331">
        <v>0</v>
      </c>
      <c r="K106" s="112" t="str">
        <f>FHD_NOTE_P_66</f>
        <v/>
      </c>
      <c r="L106" s="306"/>
      <c r="M106" s="68"/>
      <c r="N106" s="68"/>
      <c r="S106" s="68"/>
      <c r="V106" s="307"/>
      <c r="AB106" s="9"/>
      <c r="AC106" s="9"/>
      <c r="AD106" s="9"/>
      <c r="AE106" s="9"/>
      <c r="AF106" s="9"/>
    </row>
    <row r="107" spans="1:32" s="63" customFormat="1" ht="18.75" customHeight="1">
      <c r="A107" s="1351"/>
      <c r="C107" s="68"/>
      <c r="D107" s="56"/>
      <c r="E107" s="1059" t="str">
        <f>FHD_NUM_P_67</f>
        <v>10.1.1</v>
      </c>
      <c r="F107" s="10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071" t="s">
        <v>584</v>
      </c>
      <c r="H107" s="331"/>
      <c r="I107" s="331">
        <v>0</v>
      </c>
      <c r="J107" s="331">
        <v>0</v>
      </c>
      <c r="K107" s="112" t="str">
        <f>FHD_NOTE_P_67</f>
        <v/>
      </c>
      <c r="L107" s="306"/>
      <c r="M107" s="68"/>
      <c r="N107" s="68"/>
      <c r="S107" s="68"/>
      <c r="V107" s="307"/>
      <c r="AB107" s="9"/>
      <c r="AC107" s="9"/>
      <c r="AD107" s="9"/>
      <c r="AE107" s="9"/>
      <c r="AF107" s="9"/>
    </row>
    <row r="108" spans="1:32" s="63" customFormat="1" ht="18.75" customHeight="1">
      <c r="A108" s="1351"/>
      <c r="C108" s="68"/>
      <c r="D108" s="56"/>
      <c r="E108" s="1059" t="str">
        <f>FHD_NUM_P_68</f>
        <v>10.2</v>
      </c>
      <c r="F108" s="1072" t="str">
        <f>FHD_P_68</f>
        <v>Расчётным путём</v>
      </c>
      <c r="G108" s="1071" t="s">
        <v>584</v>
      </c>
      <c r="H108" s="331"/>
      <c r="I108" s="331">
        <v>0</v>
      </c>
      <c r="J108" s="331">
        <v>0</v>
      </c>
      <c r="K108" s="112" t="str">
        <f>FHD_NOTE_P_68</f>
        <v/>
      </c>
      <c r="L108" s="306"/>
      <c r="M108" s="68"/>
      <c r="N108" s="68"/>
      <c r="S108" s="68"/>
      <c r="V108" s="307"/>
      <c r="AB108" s="9"/>
      <c r="AC108" s="9"/>
      <c r="AD108" s="9"/>
      <c r="AE108" s="9"/>
      <c r="AF108" s="9"/>
    </row>
    <row r="109" spans="1:32" s="63" customFormat="1" ht="18.75" customHeight="1">
      <c r="A109" s="1351"/>
      <c r="C109" s="68"/>
      <c r="D109" s="56"/>
      <c r="E109" s="1059" t="str">
        <f>FHD_NUM_P_69</f>
        <v>10.3</v>
      </c>
      <c r="F109" s="1072" t="str">
        <f>FHD_P_69</f>
        <v>По нормативам потребления коммунальных услуг и нормативам потребления коммунальных ресурсов</v>
      </c>
      <c r="G109" s="1071" t="s">
        <v>584</v>
      </c>
      <c r="H109" s="331"/>
      <c r="I109" s="331">
        <v>0</v>
      </c>
      <c r="J109" s="331">
        <v>0</v>
      </c>
      <c r="K109" s="112" t="str">
        <f>FHD_NOTE_P_69</f>
        <v/>
      </c>
      <c r="L109" s="306"/>
      <c r="M109" s="68"/>
      <c r="N109" s="68"/>
      <c r="S109" s="68"/>
      <c r="V109" s="307"/>
      <c r="AB109" s="9"/>
      <c r="AC109" s="9"/>
      <c r="AD109" s="9"/>
      <c r="AE109" s="9"/>
      <c r="AF109" s="9"/>
    </row>
    <row r="110" spans="1:32" s="63" customFormat="1" ht="22.5" customHeight="1">
      <c r="A110" s="1351"/>
      <c r="C110" s="68"/>
      <c r="D110" s="56"/>
      <c r="E110" s="1059" t="str">
        <f>FHD_NUM_P_70</f>
        <v>11</v>
      </c>
      <c r="F110" s="1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071" t="s">
        <v>589</v>
      </c>
      <c r="H110" s="319"/>
      <c r="I110" s="319">
        <v>113.57</v>
      </c>
      <c r="J110" s="319">
        <v>13.95</v>
      </c>
      <c r="K110" s="112" t="str">
        <f>FHD_NOTE_P_70</f>
        <v/>
      </c>
      <c r="L110" s="306"/>
      <c r="M110" s="68"/>
      <c r="N110" s="68"/>
      <c r="S110" s="68"/>
      <c r="V110" s="307"/>
      <c r="AB110" s="9"/>
      <c r="AC110" s="9"/>
      <c r="AD110" s="9"/>
      <c r="AE110" s="9"/>
      <c r="AF110" s="9"/>
    </row>
    <row r="111" spans="1:32" s="63" customFormat="1" ht="22.5" customHeight="1">
      <c r="A111" s="1351"/>
      <c r="C111" s="68"/>
      <c r="D111" s="56"/>
      <c r="E111" s="1059" t="str">
        <f>FHD_NUM_P_71</f>
        <v>12</v>
      </c>
      <c r="F111" s="150" t="str">
        <f>FHD_P_71</f>
        <v>Фактический объем потерь при передаче тепловой энергии</v>
      </c>
      <c r="G111" s="1071" t="s">
        <v>589</v>
      </c>
      <c r="H111" s="319"/>
      <c r="I111" s="319">
        <v>113.38</v>
      </c>
      <c r="J111" s="319">
        <v>7.4</v>
      </c>
      <c r="K111" s="112" t="str">
        <f>FHD_NOTE_P_71</f>
        <v/>
      </c>
      <c r="L111" s="306"/>
      <c r="M111" s="68"/>
      <c r="N111" s="68"/>
      <c r="S111" s="68"/>
      <c r="V111" s="307"/>
      <c r="AB111" s="9"/>
      <c r="AC111" s="9"/>
      <c r="AD111" s="9"/>
      <c r="AE111" s="9"/>
      <c r="AF111" s="9"/>
    </row>
    <row r="112" spans="1:32" ht="18.75" customHeight="1">
      <c r="D112" s="56"/>
      <c r="E112" s="1059" t="str">
        <f>FHD_NUM_P_72</f>
        <v>13</v>
      </c>
      <c r="F112" s="150" t="str">
        <f>FHD_P_72</f>
        <v>Среднесписочная численность основного производственного персонала</v>
      </c>
      <c r="G112" s="1071" t="s">
        <v>590</v>
      </c>
      <c r="H112" s="331"/>
      <c r="I112" s="331">
        <v>0</v>
      </c>
      <c r="J112" s="331">
        <v>0</v>
      </c>
      <c r="K112" s="112" t="str">
        <f>FHD_NOTE_P_72</f>
        <v/>
      </c>
      <c r="L112" s="306"/>
    </row>
    <row r="113" spans="1:32" ht="18.75" customHeight="1">
      <c r="A113" s="566" t="s">
        <v>591</v>
      </c>
      <c r="D113" s="56"/>
      <c r="E113" s="309" t="str">
        <f>FHD_NUM_P_73</f>
        <v>14</v>
      </c>
      <c r="F113" s="150" t="str">
        <f>FHD_P_73</f>
        <v>Среднесписочная численность административно-управленческого персонала</v>
      </c>
      <c r="G113" s="549" t="s">
        <v>590</v>
      </c>
      <c r="H113" s="548"/>
      <c r="I113" s="548">
        <v>0</v>
      </c>
      <c r="J113" s="548">
        <v>0</v>
      </c>
      <c r="K113" s="112" t="str">
        <f>FHD_NOTE_P_73</f>
        <v/>
      </c>
      <c r="L113" s="306"/>
    </row>
    <row r="114" spans="1:32" ht="33.75" hidden="1" customHeight="1">
      <c r="A114" s="566" t="s">
        <v>592</v>
      </c>
      <c r="D114" s="56"/>
      <c r="E114" s="309" t="str">
        <f>FHD_NUM_P_74</f>
        <v/>
      </c>
      <c r="F114" s="150" t="str">
        <f>FHD_P_74</f>
        <v/>
      </c>
      <c r="G114" s="386" t="s">
        <v>593</v>
      </c>
      <c r="H114" s="331"/>
      <c r="I114" s="331">
        <v>0</v>
      </c>
      <c r="J114" s="331">
        <v>0</v>
      </c>
      <c r="K114" s="112" t="str">
        <f>FHD_NOTE_P_74</f>
        <v/>
      </c>
      <c r="L114" s="306"/>
    </row>
    <row r="115" spans="1:32" s="12" customFormat="1" ht="18.75" hidden="1" customHeight="1">
      <c r="A115" s="1351" t="s">
        <v>594</v>
      </c>
      <c r="B115" s="63"/>
      <c r="C115" s="68"/>
      <c r="D115" s="56"/>
      <c r="E115" s="309" t="str">
        <f>FHD_NUM_P_75</f>
        <v/>
      </c>
      <c r="F115" s="150" t="str">
        <f>FHD_P_75</f>
        <v/>
      </c>
      <c r="G115" s="386" t="s">
        <v>557</v>
      </c>
      <c r="H115" s="319"/>
      <c r="I115" s="319"/>
      <c r="J115" s="319"/>
      <c r="K115" s="112" t="str">
        <f>FHD_NOTE_P_75</f>
        <v/>
      </c>
      <c r="L115" s="306"/>
      <c r="M115" s="68"/>
      <c r="N115" s="68"/>
      <c r="O115" s="63"/>
      <c r="P115" s="63"/>
      <c r="Q115" s="63"/>
      <c r="R115" s="63"/>
      <c r="S115" s="68"/>
      <c r="T115" s="63"/>
      <c r="U115" s="63"/>
      <c r="V115" s="307"/>
      <c r="W115" s="63"/>
      <c r="X115" s="63"/>
      <c r="Y115" s="63"/>
      <c r="Z115" s="63"/>
      <c r="AA115" s="63"/>
      <c r="AB115" s="9"/>
      <c r="AC115" s="9"/>
      <c r="AD115" s="9"/>
      <c r="AE115" s="9"/>
      <c r="AF115" s="9"/>
    </row>
    <row r="116" spans="1:32" s="12" customFormat="1" ht="18.75" hidden="1" customHeight="1">
      <c r="A116" s="1351"/>
      <c r="B116" s="63"/>
      <c r="C116" s="68"/>
      <c r="D116" s="56"/>
      <c r="E116" s="309" t="str">
        <f>FHD_NUM_P_76</f>
        <v/>
      </c>
      <c r="F116" s="150" t="str">
        <f>FHD_P_76</f>
        <v/>
      </c>
      <c r="G116" s="386" t="s">
        <v>557</v>
      </c>
      <c r="H116" s="319"/>
      <c r="I116" s="319"/>
      <c r="J116" s="319"/>
      <c r="K116" s="112" t="str">
        <f>FHD_NOTE_P_76</f>
        <v/>
      </c>
      <c r="L116" s="306"/>
      <c r="M116" s="68"/>
      <c r="N116" s="68"/>
      <c r="O116" s="63"/>
      <c r="P116" s="63"/>
      <c r="Q116" s="63"/>
      <c r="R116" s="63"/>
      <c r="S116" s="68"/>
      <c r="T116" s="63"/>
      <c r="U116" s="63"/>
      <c r="V116" s="307"/>
      <c r="W116" s="63"/>
      <c r="X116" s="63"/>
      <c r="Y116" s="63"/>
      <c r="Z116" s="63"/>
      <c r="AA116" s="63"/>
      <c r="AB116" s="9"/>
      <c r="AC116" s="9"/>
      <c r="AD116" s="9"/>
      <c r="AE116" s="9"/>
      <c r="AF116" s="9"/>
    </row>
    <row r="117" spans="1:32" s="12" customFormat="1" ht="18.75" hidden="1" customHeight="1">
      <c r="A117" s="1351"/>
      <c r="B117" s="63"/>
      <c r="C117" s="68"/>
      <c r="D117" s="56"/>
      <c r="E117" s="309" t="str">
        <f>FHD_NUM_P_77</f>
        <v/>
      </c>
      <c r="F117" s="150" t="str">
        <f>FHD_P_77</f>
        <v/>
      </c>
      <c r="G117" s="386" t="s">
        <v>557</v>
      </c>
      <c r="H117" s="319"/>
      <c r="I117" s="319"/>
      <c r="J117" s="319"/>
      <c r="K117" s="112" t="str">
        <f>FHD_NOTE_P_77</f>
        <v/>
      </c>
      <c r="L117" s="306"/>
      <c r="M117" s="68"/>
      <c r="N117" s="68"/>
      <c r="O117" s="63"/>
      <c r="P117" s="63"/>
      <c r="Q117" s="63"/>
      <c r="R117" s="63"/>
      <c r="S117" s="68"/>
      <c r="T117" s="63"/>
      <c r="U117" s="63"/>
      <c r="V117" s="307"/>
      <c r="W117" s="63"/>
      <c r="X117" s="63"/>
      <c r="Y117" s="63"/>
      <c r="Z117" s="63"/>
      <c r="AA117" s="63"/>
      <c r="AB117" s="9"/>
      <c r="AC117" s="9"/>
      <c r="AD117" s="9"/>
      <c r="AE117" s="9"/>
      <c r="AF117" s="9"/>
    </row>
    <row r="118" spans="1:32" s="68" customFormat="1" ht="0.75" hidden="1" customHeight="1">
      <c r="A118" s="1351"/>
      <c r="D118" s="311"/>
      <c r="E118" s="314" t="str">
        <f>E117&amp;".0"</f>
        <v>.0</v>
      </c>
      <c r="F118" s="1077"/>
      <c r="G118" s="885"/>
      <c r="H118" s="569"/>
      <c r="I118" s="569"/>
      <c r="J118" s="569"/>
      <c r="K118" s="570"/>
    </row>
    <row r="119" spans="1:32" s="12" customFormat="1" ht="15" hidden="1" customHeight="1">
      <c r="A119" s="1351"/>
      <c r="B119" s="63"/>
      <c r="C119" s="68"/>
      <c r="D119" s="76"/>
      <c r="E119" s="551"/>
      <c r="F119" s="550" t="s">
        <v>595</v>
      </c>
      <c r="G119" s="326"/>
      <c r="H119" s="327"/>
      <c r="I119" s="327"/>
      <c r="J119" s="327"/>
      <c r="K119" s="197" t="s">
        <v>596</v>
      </c>
      <c r="L119" s="306"/>
      <c r="M119" s="68"/>
      <c r="N119" s="68"/>
      <c r="O119" s="63"/>
      <c r="P119" s="63"/>
      <c r="Q119" s="63"/>
      <c r="R119" s="63"/>
      <c r="S119" s="68"/>
      <c r="T119" s="63"/>
      <c r="U119" s="63"/>
      <c r="V119" s="307"/>
      <c r="W119" s="63"/>
      <c r="X119" s="63"/>
      <c r="Y119" s="63"/>
      <c r="Z119" s="63"/>
      <c r="AA119" s="63"/>
      <c r="AB119" s="9"/>
      <c r="AC119" s="9"/>
      <c r="AD119" s="9"/>
      <c r="AE119" s="9"/>
      <c r="AF119" s="9"/>
    </row>
    <row r="120" spans="1:32" ht="22.5" customHeight="1">
      <c r="A120" s="1351" t="s">
        <v>597</v>
      </c>
      <c r="D120" s="56"/>
      <c r="E120" s="309" t="str">
        <f>FHD_NUM_P_78</f>
        <v>15</v>
      </c>
      <c r="F120" s="1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386" t="s">
        <v>559</v>
      </c>
      <c r="H120" s="331"/>
      <c r="I120" s="331">
        <v>0</v>
      </c>
      <c r="J120" s="331">
        <v>0</v>
      </c>
      <c r="K120" s="112" t="str">
        <f>FHD_NOTE_P_78</f>
        <v/>
      </c>
      <c r="L120" s="306"/>
    </row>
    <row r="121" spans="1:32" s="68" customFormat="1" ht="0.75" customHeight="1">
      <c r="A121" s="1351"/>
      <c r="D121" s="311"/>
      <c r="E121" s="314" t="str">
        <f>E120&amp;".0"</f>
        <v>15.0</v>
      </c>
      <c r="F121" s="1077"/>
      <c r="G121" s="885"/>
      <c r="H121" s="569"/>
      <c r="I121" s="569"/>
      <c r="J121" s="569"/>
      <c r="K121" s="570"/>
    </row>
    <row r="122" spans="1:32" ht="15" customHeight="1">
      <c r="A122" s="1351"/>
      <c r="D122" s="76"/>
      <c r="E122" s="325"/>
      <c r="F122" s="108" t="s">
        <v>587</v>
      </c>
      <c r="G122" s="326"/>
      <c r="H122" s="327"/>
      <c r="I122" s="327"/>
      <c r="J122" s="327"/>
      <c r="K122" s="197" t="s">
        <v>598</v>
      </c>
      <c r="L122" s="306"/>
    </row>
    <row r="123" spans="1:32" ht="22.5" customHeight="1">
      <c r="A123" s="1351"/>
      <c r="D123" s="56"/>
      <c r="E123" s="309" t="str">
        <f>FHD_NUM_P_79</f>
        <v>16</v>
      </c>
      <c r="F123" s="1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42" t="s">
        <v>561</v>
      </c>
      <c r="H123" s="331"/>
      <c r="I123" s="331">
        <v>0</v>
      </c>
      <c r="J123" s="331">
        <v>0</v>
      </c>
      <c r="K123" s="11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306"/>
    </row>
    <row r="124" spans="1:32" s="68" customFormat="1" ht="0.75" customHeight="1">
      <c r="A124" s="1351"/>
      <c r="D124" s="311"/>
      <c r="E124" s="314" t="str">
        <f>E123&amp;".0"</f>
        <v>16.0</v>
      </c>
      <c r="F124" s="1078"/>
      <c r="G124" s="885"/>
      <c r="H124" s="569"/>
      <c r="I124" s="569"/>
      <c r="J124" s="569"/>
      <c r="K124" s="570"/>
    </row>
    <row r="125" spans="1:32" ht="15" customHeight="1">
      <c r="A125" s="1351"/>
      <c r="D125" s="76"/>
      <c r="E125" s="325"/>
      <c r="F125" s="108" t="s">
        <v>587</v>
      </c>
      <c r="G125" s="326"/>
      <c r="H125" s="327"/>
      <c r="I125" s="327"/>
      <c r="J125" s="327"/>
      <c r="K125" s="197" t="s">
        <v>599</v>
      </c>
      <c r="L125" s="306"/>
    </row>
    <row r="126" spans="1:32" ht="22.5" customHeight="1">
      <c r="A126" s="1351"/>
      <c r="D126" s="56"/>
      <c r="E126" s="309" t="str">
        <f>FHD_NUM_P_80</f>
        <v>17</v>
      </c>
      <c r="F126" s="1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42" t="s">
        <v>600</v>
      </c>
      <c r="H126" s="319"/>
      <c r="I126" s="319">
        <v>0.08</v>
      </c>
      <c r="J126" s="319">
        <v>0.03</v>
      </c>
      <c r="K126" s="112" t="str">
        <f>FHD_NOTE_P_80</f>
        <v>Регулируемыми организациями указывается информация с по договорам, заключенным в рамках осуществления регулируемой деятельности.</v>
      </c>
      <c r="L126" s="306"/>
    </row>
    <row r="127" spans="1:32" ht="18.75" customHeight="1">
      <c r="A127" s="1351"/>
      <c r="D127" s="56"/>
      <c r="E127" s="309" t="str">
        <f>FHD_NUM_P_81</f>
        <v>18</v>
      </c>
      <c r="F127" s="1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42" t="s">
        <v>601</v>
      </c>
      <c r="H127" s="319"/>
      <c r="I127" s="319">
        <v>2.5299999999999998</v>
      </c>
      <c r="J127" s="319">
        <v>3.23</v>
      </c>
      <c r="K127" s="112" t="str">
        <f>FHD_NOTE_P_81</f>
        <v>Регулируемыми организациями указывается информация с по договорам, заключенным в рамках осуществления регулируемой деятельности.</v>
      </c>
      <c r="L127" s="306"/>
    </row>
    <row r="128" spans="1:32" ht="18.75" customHeight="1">
      <c r="A128" s="1351"/>
      <c r="C128" s="68" t="s">
        <v>580</v>
      </c>
      <c r="D128" s="56"/>
      <c r="E128" s="309" t="str">
        <f>FHD_NUM_P_82</f>
        <v>19</v>
      </c>
      <c r="F128" s="1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42" t="s">
        <v>305</v>
      </c>
      <c r="H128" s="226"/>
      <c r="I128" s="226"/>
      <c r="J128" s="226"/>
      <c r="K128" s="112" t="str">
        <f>FHD_NOTE_P_82</f>
        <v>Указывается ссылка на документ, предварительно загруженный в хранилище файлов ФГИС ЕИАС.</v>
      </c>
      <c r="L128" s="306"/>
    </row>
    <row r="129" spans="1:32" ht="18.75" customHeight="1">
      <c r="A129" s="1351"/>
      <c r="C129" s="68" t="s">
        <v>580</v>
      </c>
      <c r="D129" s="56"/>
      <c r="E129" s="309" t="str">
        <f>FHD_NUM_P_83</f>
        <v>19.1</v>
      </c>
      <c r="F129" s="1072" t="str">
        <f>FHD_P_83</f>
        <v>Информация о показателях физического износа объектов теплоснабжения</v>
      </c>
      <c r="G129" s="42" t="s">
        <v>305</v>
      </c>
      <c r="H129" s="226"/>
      <c r="I129" s="226"/>
      <c r="J129" s="226"/>
      <c r="K129" s="112" t="str">
        <f>FHD_NOTE_P_83</f>
        <v>Указывается ссылка на документ, предварительно загруженный в хранилище файлов ФГИС ЕИАС.</v>
      </c>
      <c r="L129" s="306"/>
    </row>
    <row r="130" spans="1:32" ht="18.75" customHeight="1">
      <c r="A130" s="1351"/>
      <c r="C130" s="68" t="s">
        <v>580</v>
      </c>
      <c r="D130" s="56"/>
      <c r="E130" s="309" t="str">
        <f>FHD_NUM_P_84</f>
        <v>19.2</v>
      </c>
      <c r="F130" s="1072" t="str">
        <f>FHD_P_84</f>
        <v>Информация о показателях энергетической эффективности объектов теплоснабжения</v>
      </c>
      <c r="G130" s="42" t="s">
        <v>305</v>
      </c>
      <c r="H130" s="226"/>
      <c r="I130" s="226"/>
      <c r="J130" s="226"/>
      <c r="K130" s="112" t="str">
        <f>FHD_NOTE_P_84</f>
        <v>Указывается ссылка на документ, предварительно загруженный в хранилище файлов ФГИС ЕИАС.</v>
      </c>
      <c r="L130" s="306"/>
    </row>
    <row r="131" spans="1:32" ht="11.25" customHeight="1">
      <c r="D131" s="56"/>
      <c r="K131" s="5"/>
    </row>
    <row r="132" spans="1:32" ht="12.75" customHeight="1">
      <c r="D132" s="56"/>
      <c r="E132" s="196"/>
      <c r="F132" s="5"/>
      <c r="G132" s="5"/>
      <c r="H132" s="5"/>
      <c r="I132" s="364"/>
      <c r="J132" s="5"/>
      <c r="K132" s="364"/>
    </row>
    <row r="133" spans="1:32" s="201" customFormat="1" ht="11.25" customHeight="1">
      <c r="A133" s="564"/>
      <c r="B133" s="68"/>
      <c r="C133" s="68"/>
      <c r="F133" s="123"/>
      <c r="G133" s="12"/>
      <c r="H133" s="12"/>
      <c r="I133" s="12"/>
      <c r="J133" s="12"/>
      <c r="K133" s="1080"/>
      <c r="L133" s="63"/>
      <c r="M133" s="68"/>
      <c r="N133" s="68"/>
      <c r="O133" s="63"/>
      <c r="P133" s="63"/>
      <c r="Q133" s="63"/>
      <c r="R133" s="63"/>
      <c r="S133" s="68"/>
      <c r="T133" s="63"/>
      <c r="U133" s="63"/>
      <c r="V133" s="307"/>
      <c r="W133" s="63"/>
      <c r="X133" s="63"/>
      <c r="Y133" s="63"/>
      <c r="Z133" s="63"/>
      <c r="AA133" s="63"/>
      <c r="AB133" s="9"/>
      <c r="AC133" s="140"/>
      <c r="AD133" s="140"/>
      <c r="AE133" s="140"/>
      <c r="AF133" s="140"/>
    </row>
    <row r="134" spans="1:32" s="201" customFormat="1" ht="11.25" customHeight="1">
      <c r="A134" s="564"/>
      <c r="B134" s="68"/>
      <c r="C134" s="68"/>
      <c r="L134" s="63"/>
      <c r="M134" s="68"/>
      <c r="N134" s="68"/>
      <c r="O134" s="63"/>
      <c r="P134" s="63"/>
      <c r="Q134" s="63"/>
      <c r="R134" s="63"/>
      <c r="S134" s="68"/>
      <c r="T134" s="63"/>
      <c r="U134" s="63"/>
      <c r="V134" s="307"/>
      <c r="W134" s="63"/>
      <c r="X134" s="63"/>
      <c r="Y134" s="63"/>
      <c r="Z134" s="63"/>
      <c r="AA134" s="63"/>
      <c r="AB134" s="9"/>
      <c r="AC134" s="140"/>
      <c r="AD134" s="140"/>
      <c r="AE134" s="140"/>
      <c r="AF134" s="140"/>
    </row>
    <row r="135" spans="1:32" s="201" customFormat="1" ht="11.25" customHeight="1">
      <c r="A135" s="564"/>
      <c r="B135" s="68"/>
      <c r="C135" s="68"/>
      <c r="L135" s="63"/>
      <c r="M135" s="68"/>
      <c r="N135" s="68"/>
      <c r="O135" s="63"/>
      <c r="P135" s="63"/>
      <c r="Q135" s="63"/>
      <c r="R135" s="63"/>
      <c r="S135" s="68"/>
      <c r="T135" s="63"/>
      <c r="U135" s="63"/>
      <c r="V135" s="307"/>
      <c r="W135" s="63"/>
      <c r="X135" s="63"/>
      <c r="Y135" s="63"/>
      <c r="Z135" s="63"/>
      <c r="AA135" s="63"/>
      <c r="AB135" s="9"/>
      <c r="AC135" s="140"/>
      <c r="AD135" s="140"/>
      <c r="AE135" s="140"/>
      <c r="AF135" s="140"/>
    </row>
    <row r="136" spans="1:32" s="201" customFormat="1" ht="11.25" customHeight="1">
      <c r="A136" s="564"/>
      <c r="B136" s="68"/>
      <c r="C136" s="68"/>
      <c r="H136" s="140" t="str">
        <f>IF(H30-H31&lt;&gt;H72,"WARNING","")</f>
        <v/>
      </c>
      <c r="I136" s="140" t="str">
        <f>IF(I30-I31&lt;&gt;I72,"WARNING","")</f>
        <v>WARNING</v>
      </c>
      <c r="J136" s="140" t="str">
        <f>IF(J30-J31&lt;&gt;J72,"WARNING","")</f>
        <v/>
      </c>
      <c r="L136" s="63"/>
      <c r="M136" s="68"/>
      <c r="N136" s="68"/>
      <c r="O136" s="63"/>
      <c r="P136" s="63"/>
      <c r="Q136" s="63"/>
      <c r="R136" s="63"/>
      <c r="S136" s="68"/>
      <c r="T136" s="63"/>
      <c r="U136" s="63"/>
      <c r="V136" s="307"/>
      <c r="W136" s="63"/>
      <c r="X136" s="63"/>
      <c r="Y136" s="63"/>
      <c r="Z136" s="63"/>
      <c r="AA136" s="63"/>
      <c r="AB136" s="9"/>
      <c r="AC136" s="140"/>
      <c r="AD136" s="140"/>
      <c r="AE136" s="140"/>
      <c r="AF136" s="140"/>
    </row>
    <row r="137" spans="1:32" s="201" customFormat="1" ht="11.25" customHeight="1">
      <c r="A137" s="564"/>
      <c r="B137" s="68"/>
      <c r="C137" s="68"/>
      <c r="L137" s="63"/>
      <c r="M137" s="68"/>
      <c r="N137" s="68"/>
      <c r="O137" s="63"/>
      <c r="P137" s="63"/>
      <c r="Q137" s="63"/>
      <c r="R137" s="63"/>
      <c r="S137" s="68"/>
      <c r="T137" s="63"/>
      <c r="U137" s="63"/>
      <c r="V137" s="307"/>
      <c r="W137" s="63"/>
      <c r="X137" s="63"/>
      <c r="Y137" s="63"/>
      <c r="Z137" s="63"/>
      <c r="AA137" s="63"/>
      <c r="AB137" s="9"/>
      <c r="AC137" s="140"/>
      <c r="AD137" s="140"/>
      <c r="AE137" s="140"/>
      <c r="AF137" s="140"/>
    </row>
    <row r="138" spans="1:32" s="201" customFormat="1" ht="11.25" customHeight="1">
      <c r="A138" s="564"/>
      <c r="B138" s="68"/>
      <c r="C138" s="68"/>
      <c r="L138" s="63"/>
      <c r="M138" s="68"/>
      <c r="N138" s="68"/>
      <c r="O138" s="63"/>
      <c r="P138" s="63"/>
      <c r="Q138" s="63"/>
      <c r="R138" s="63"/>
      <c r="S138" s="68"/>
      <c r="T138" s="63"/>
      <c r="U138" s="63"/>
      <c r="V138" s="307"/>
      <c r="W138" s="63"/>
      <c r="X138" s="63"/>
      <c r="Y138" s="63"/>
      <c r="Z138" s="63"/>
      <c r="AA138" s="63"/>
      <c r="AB138" s="9"/>
      <c r="AC138" s="140"/>
      <c r="AD138" s="140"/>
      <c r="AE138" s="140"/>
      <c r="AF138" s="140"/>
    </row>
    <row r="139" spans="1:32" s="201" customFormat="1" ht="11.25" customHeight="1">
      <c r="A139" s="564"/>
      <c r="B139" s="68"/>
      <c r="C139" s="68"/>
      <c r="L139" s="63"/>
      <c r="M139" s="68"/>
      <c r="N139" s="68"/>
      <c r="O139" s="63"/>
      <c r="P139" s="63"/>
      <c r="Q139" s="63"/>
      <c r="R139" s="63"/>
      <c r="S139" s="68"/>
      <c r="T139" s="63"/>
      <c r="U139" s="63"/>
      <c r="V139" s="307"/>
      <c r="W139" s="63"/>
      <c r="X139" s="63"/>
      <c r="Y139" s="63"/>
      <c r="Z139" s="63"/>
      <c r="AA139" s="63"/>
      <c r="AB139" s="9"/>
      <c r="AC139" s="140"/>
      <c r="AD139" s="140"/>
      <c r="AE139" s="140"/>
      <c r="AF139" s="140"/>
    </row>
    <row r="140" spans="1:32" s="201" customFormat="1" ht="11.25" customHeight="1">
      <c r="A140" s="564"/>
      <c r="B140" s="68"/>
      <c r="C140" s="68"/>
      <c r="L140" s="63"/>
      <c r="M140" s="68"/>
      <c r="N140" s="68"/>
      <c r="O140" s="63"/>
      <c r="P140" s="63"/>
      <c r="Q140" s="63"/>
      <c r="R140" s="63"/>
      <c r="S140" s="68"/>
      <c r="T140" s="63"/>
      <c r="U140" s="63"/>
      <c r="V140" s="307"/>
      <c r="W140" s="63"/>
      <c r="X140" s="63"/>
      <c r="Y140" s="63"/>
      <c r="Z140" s="63"/>
      <c r="AA140" s="63"/>
      <c r="AB140" s="9"/>
      <c r="AC140" s="140"/>
      <c r="AD140" s="140"/>
      <c r="AE140" s="140"/>
      <c r="AF140" s="140"/>
    </row>
    <row r="141" spans="1:32" s="201" customFormat="1" ht="11.25" customHeight="1">
      <c r="A141" s="564"/>
      <c r="B141" s="68"/>
      <c r="C141" s="68"/>
      <c r="L141" s="63"/>
      <c r="M141" s="68"/>
      <c r="N141" s="68"/>
      <c r="O141" s="63"/>
      <c r="P141" s="63"/>
      <c r="Q141" s="63"/>
      <c r="R141" s="63"/>
      <c r="S141" s="68"/>
      <c r="T141" s="63"/>
      <c r="U141" s="63"/>
      <c r="V141" s="307"/>
      <c r="W141" s="63"/>
      <c r="X141" s="63"/>
      <c r="Y141" s="63"/>
      <c r="Z141" s="63"/>
      <c r="AA141" s="63"/>
      <c r="AB141" s="9"/>
      <c r="AC141" s="140"/>
      <c r="AD141" s="140"/>
      <c r="AE141" s="140"/>
      <c r="AF141" s="140"/>
    </row>
    <row r="142" spans="1:32" s="201" customFormat="1" ht="11.25" customHeight="1">
      <c r="A142" s="564"/>
      <c r="B142" s="68"/>
      <c r="C142" s="68"/>
      <c r="L142" s="63"/>
      <c r="M142" s="68"/>
      <c r="N142" s="68"/>
      <c r="O142" s="63"/>
      <c r="P142" s="63"/>
      <c r="Q142" s="63"/>
      <c r="R142" s="63"/>
      <c r="S142" s="68"/>
      <c r="T142" s="63"/>
      <c r="U142" s="63"/>
      <c r="V142" s="307"/>
      <c r="W142" s="63"/>
      <c r="X142" s="63"/>
      <c r="Y142" s="63"/>
      <c r="Z142" s="63"/>
      <c r="AA142" s="63"/>
      <c r="AB142" s="9"/>
      <c r="AC142" s="140"/>
      <c r="AD142" s="140"/>
      <c r="AE142" s="140"/>
      <c r="AF142" s="140"/>
    </row>
    <row r="143" spans="1:32" s="201" customFormat="1" ht="11.25" customHeight="1">
      <c r="A143" s="564"/>
      <c r="B143" s="68"/>
      <c r="C143" s="68"/>
      <c r="L143" s="63"/>
      <c r="M143" s="68"/>
      <c r="N143" s="68"/>
      <c r="O143" s="63"/>
      <c r="P143" s="63"/>
      <c r="Q143" s="63"/>
      <c r="R143" s="63"/>
      <c r="S143" s="68"/>
      <c r="T143" s="63"/>
      <c r="U143" s="63"/>
      <c r="V143" s="307"/>
      <c r="W143" s="63"/>
      <c r="X143" s="63"/>
      <c r="Y143" s="63"/>
      <c r="Z143" s="63"/>
      <c r="AA143" s="63"/>
      <c r="AB143" s="9"/>
      <c r="AC143" s="140"/>
      <c r="AD143" s="140"/>
      <c r="AE143" s="140"/>
      <c r="AF143" s="140"/>
    </row>
    <row r="144" spans="1:32" s="201" customFormat="1" ht="11.25" customHeight="1">
      <c r="A144" s="564"/>
      <c r="B144" s="68"/>
      <c r="C144" s="68"/>
      <c r="L144" s="63"/>
      <c r="M144" s="68"/>
      <c r="N144" s="68"/>
      <c r="O144" s="63"/>
      <c r="P144" s="63"/>
      <c r="Q144" s="63"/>
      <c r="R144" s="63"/>
      <c r="S144" s="68"/>
      <c r="T144" s="63"/>
      <c r="U144" s="63"/>
      <c r="V144" s="307"/>
      <c r="W144" s="63"/>
      <c r="X144" s="63"/>
      <c r="Y144" s="63"/>
      <c r="Z144" s="63"/>
      <c r="AA144" s="63"/>
      <c r="AB144" s="9"/>
      <c r="AC144" s="140"/>
      <c r="AD144" s="140"/>
      <c r="AE144" s="140"/>
      <c r="AF144" s="140"/>
    </row>
    <row r="145" spans="1:32" s="201" customFormat="1" ht="11.25" customHeight="1">
      <c r="A145" s="564"/>
      <c r="B145" s="68"/>
      <c r="C145" s="68"/>
      <c r="L145" s="63"/>
      <c r="M145" s="68"/>
      <c r="N145" s="68"/>
      <c r="O145" s="63"/>
      <c r="P145" s="63"/>
      <c r="Q145" s="63"/>
      <c r="R145" s="63"/>
      <c r="S145" s="68"/>
      <c r="T145" s="63"/>
      <c r="U145" s="63"/>
      <c r="V145" s="307"/>
      <c r="W145" s="63"/>
      <c r="X145" s="63"/>
      <c r="Y145" s="63"/>
      <c r="Z145" s="63"/>
      <c r="AA145" s="63"/>
      <c r="AB145" s="9"/>
      <c r="AC145" s="140"/>
      <c r="AD145" s="140"/>
      <c r="AE145" s="140"/>
      <c r="AF145" s="140"/>
    </row>
    <row r="146" spans="1:32" s="201" customFormat="1" ht="11.25" customHeight="1">
      <c r="A146" s="564"/>
      <c r="B146" s="68"/>
      <c r="C146" s="68"/>
      <c r="L146" s="63"/>
      <c r="M146" s="68"/>
      <c r="N146" s="68"/>
      <c r="O146" s="63"/>
      <c r="P146" s="63"/>
      <c r="Q146" s="63"/>
      <c r="R146" s="63"/>
      <c r="S146" s="68"/>
      <c r="T146" s="63"/>
      <c r="U146" s="63"/>
      <c r="V146" s="307"/>
      <c r="W146" s="63"/>
      <c r="X146" s="63"/>
      <c r="Y146" s="63"/>
      <c r="Z146" s="63"/>
      <c r="AA146" s="63"/>
      <c r="AB146" s="9"/>
      <c r="AC146" s="140"/>
      <c r="AD146" s="140"/>
      <c r="AE146" s="140"/>
      <c r="AF146" s="140"/>
    </row>
    <row r="147" spans="1:32" s="201" customFormat="1" ht="11.25" customHeight="1">
      <c r="A147" s="564"/>
      <c r="B147" s="68"/>
      <c r="C147" s="68"/>
      <c r="L147" s="63"/>
      <c r="M147" s="68"/>
      <c r="N147" s="68"/>
      <c r="O147" s="63"/>
      <c r="P147" s="63"/>
      <c r="Q147" s="63"/>
      <c r="R147" s="63"/>
      <c r="S147" s="68"/>
      <c r="T147" s="63"/>
      <c r="U147" s="63"/>
      <c r="V147" s="307"/>
      <c r="W147" s="63"/>
      <c r="X147" s="63"/>
      <c r="Y147" s="63"/>
      <c r="Z147" s="63"/>
      <c r="AA147" s="63"/>
      <c r="AB147" s="9"/>
      <c r="AC147" s="140"/>
      <c r="AD147" s="140"/>
      <c r="AE147" s="140"/>
      <c r="AF147" s="140"/>
    </row>
    <row r="148" spans="1:32" s="201" customFormat="1" ht="11.25" customHeight="1">
      <c r="A148" s="564"/>
      <c r="B148" s="68"/>
      <c r="C148" s="68"/>
      <c r="L148" s="63"/>
      <c r="M148" s="68"/>
      <c r="N148" s="68"/>
      <c r="O148" s="63"/>
      <c r="P148" s="63"/>
      <c r="Q148" s="63"/>
      <c r="R148" s="63"/>
      <c r="S148" s="68"/>
      <c r="T148" s="63"/>
      <c r="U148" s="63"/>
      <c r="V148" s="307"/>
      <c r="W148" s="63"/>
      <c r="X148" s="63"/>
      <c r="Y148" s="63"/>
      <c r="Z148" s="63"/>
      <c r="AA148" s="63"/>
      <c r="AB148" s="9"/>
      <c r="AC148" s="140"/>
      <c r="AD148" s="140"/>
      <c r="AE148" s="140"/>
      <c r="AF148" s="140"/>
    </row>
    <row r="149" spans="1:32" s="201" customFormat="1" ht="11.25" customHeight="1">
      <c r="A149" s="564"/>
      <c r="B149" s="68"/>
      <c r="C149" s="68"/>
      <c r="L149" s="63"/>
      <c r="M149" s="68"/>
      <c r="N149" s="68"/>
      <c r="O149" s="63"/>
      <c r="P149" s="63"/>
      <c r="Q149" s="63"/>
      <c r="R149" s="63"/>
      <c r="S149" s="68"/>
      <c r="T149" s="63"/>
      <c r="U149" s="63"/>
      <c r="V149" s="307"/>
      <c r="W149" s="63"/>
      <c r="X149" s="63"/>
      <c r="Y149" s="63"/>
      <c r="Z149" s="63"/>
      <c r="AA149" s="63"/>
      <c r="AB149" s="9"/>
      <c r="AC149" s="140"/>
      <c r="AD149" s="140"/>
      <c r="AE149" s="140"/>
      <c r="AF149" s="140"/>
    </row>
    <row r="150" spans="1:32" s="201" customFormat="1" ht="11.25" customHeight="1">
      <c r="A150" s="564"/>
      <c r="B150" s="68"/>
      <c r="C150" s="68"/>
      <c r="L150" s="63"/>
      <c r="M150" s="68"/>
      <c r="N150" s="68"/>
      <c r="O150" s="63"/>
      <c r="P150" s="63"/>
      <c r="Q150" s="63"/>
      <c r="R150" s="63"/>
      <c r="S150" s="68"/>
      <c r="T150" s="63"/>
      <c r="U150" s="63"/>
      <c r="V150" s="307"/>
      <c r="W150" s="63"/>
      <c r="X150" s="63"/>
      <c r="Y150" s="63"/>
      <c r="Z150" s="63"/>
      <c r="AA150" s="63"/>
      <c r="AB150" s="9"/>
      <c r="AC150" s="140"/>
      <c r="AD150" s="140"/>
      <c r="AE150" s="140"/>
      <c r="AF150" s="140"/>
    </row>
    <row r="151" spans="1:32" s="201" customFormat="1" ht="11.25" customHeight="1">
      <c r="A151" s="564"/>
      <c r="B151" s="68"/>
      <c r="C151" s="68"/>
      <c r="L151" s="63"/>
      <c r="M151" s="68"/>
      <c r="N151" s="68"/>
      <c r="O151" s="63"/>
      <c r="P151" s="63"/>
      <c r="Q151" s="63"/>
      <c r="R151" s="63"/>
      <c r="S151" s="68"/>
      <c r="T151" s="63"/>
      <c r="U151" s="63"/>
      <c r="V151" s="307"/>
      <c r="W151" s="63"/>
      <c r="X151" s="63"/>
      <c r="Y151" s="63"/>
      <c r="Z151" s="63"/>
      <c r="AA151" s="63"/>
      <c r="AB151" s="9"/>
      <c r="AC151" s="140"/>
      <c r="AD151" s="140"/>
      <c r="AE151" s="140"/>
      <c r="AF151" s="140"/>
    </row>
    <row r="152" spans="1:32" s="201" customFormat="1" ht="11.25" customHeight="1">
      <c r="A152" s="564"/>
      <c r="B152" s="68"/>
      <c r="C152" s="68"/>
      <c r="L152" s="63"/>
      <c r="M152" s="68"/>
      <c r="N152" s="68"/>
      <c r="O152" s="63"/>
      <c r="P152" s="63"/>
      <c r="Q152" s="63"/>
      <c r="R152" s="63"/>
      <c r="S152" s="68"/>
      <c r="T152" s="63"/>
      <c r="U152" s="63"/>
      <c r="V152" s="307"/>
      <c r="W152" s="63"/>
      <c r="X152" s="63"/>
      <c r="Y152" s="63"/>
      <c r="Z152" s="63"/>
      <c r="AA152" s="63"/>
      <c r="AB152" s="9"/>
      <c r="AC152" s="140"/>
      <c r="AD152" s="140"/>
      <c r="AE152" s="140"/>
      <c r="AF152" s="140"/>
    </row>
    <row r="153" spans="1:32" s="201" customFormat="1" ht="11.25" customHeight="1">
      <c r="A153" s="564"/>
      <c r="B153" s="68"/>
      <c r="C153" s="68"/>
      <c r="L153" s="63"/>
      <c r="M153" s="68"/>
      <c r="N153" s="68"/>
      <c r="O153" s="63"/>
      <c r="P153" s="63"/>
      <c r="Q153" s="63"/>
      <c r="R153" s="63"/>
      <c r="S153" s="68"/>
      <c r="T153" s="63"/>
      <c r="U153" s="63"/>
      <c r="V153" s="307"/>
      <c r="W153" s="63"/>
      <c r="X153" s="63"/>
      <c r="Y153" s="63"/>
      <c r="Z153" s="63"/>
      <c r="AA153" s="63"/>
      <c r="AB153" s="9"/>
      <c r="AC153" s="140"/>
      <c r="AD153" s="140"/>
      <c r="AE153" s="140"/>
      <c r="AF153" s="140"/>
    </row>
    <row r="154" spans="1:32" s="201" customFormat="1" ht="11.25" customHeight="1">
      <c r="A154" s="564"/>
      <c r="B154" s="68"/>
      <c r="C154" s="68"/>
      <c r="L154" s="63"/>
      <c r="M154" s="68"/>
      <c r="N154" s="68"/>
      <c r="O154" s="63"/>
      <c r="P154" s="63"/>
      <c r="Q154" s="63"/>
      <c r="R154" s="63"/>
      <c r="S154" s="68"/>
      <c r="T154" s="63"/>
      <c r="U154" s="63"/>
      <c r="V154" s="307"/>
      <c r="W154" s="63"/>
      <c r="X154" s="63"/>
      <c r="Y154" s="63"/>
      <c r="Z154" s="63"/>
      <c r="AA154" s="63"/>
      <c r="AB154" s="9"/>
      <c r="AC154" s="140"/>
      <c r="AD154" s="140"/>
      <c r="AE154" s="140"/>
      <c r="AF154" s="140"/>
    </row>
    <row r="155" spans="1:32" s="201" customFormat="1" ht="11.25" customHeight="1">
      <c r="A155" s="564"/>
      <c r="B155" s="68"/>
      <c r="C155" s="68"/>
      <c r="L155" s="63"/>
      <c r="M155" s="68"/>
      <c r="N155" s="68"/>
      <c r="O155" s="63"/>
      <c r="P155" s="63"/>
      <c r="Q155" s="63"/>
      <c r="R155" s="63"/>
      <c r="S155" s="68"/>
      <c r="T155" s="63"/>
      <c r="U155" s="63"/>
      <c r="V155" s="307"/>
      <c r="W155" s="63"/>
      <c r="X155" s="63"/>
      <c r="Y155" s="63"/>
      <c r="Z155" s="63"/>
      <c r="AA155" s="63"/>
      <c r="AB155" s="9"/>
      <c r="AC155" s="140"/>
      <c r="AD155" s="140"/>
      <c r="AE155" s="140"/>
      <c r="AF155" s="140"/>
    </row>
    <row r="156" spans="1:32" s="201" customFormat="1" ht="11.25" customHeight="1">
      <c r="A156" s="564"/>
      <c r="B156" s="68"/>
      <c r="C156" s="68"/>
      <c r="L156" s="63"/>
      <c r="M156" s="68"/>
      <c r="N156" s="68"/>
      <c r="O156" s="63"/>
      <c r="P156" s="63"/>
      <c r="Q156" s="63"/>
      <c r="R156" s="63"/>
      <c r="S156" s="68"/>
      <c r="T156" s="63"/>
      <c r="U156" s="63"/>
      <c r="V156" s="307"/>
      <c r="W156" s="63"/>
      <c r="X156" s="63"/>
      <c r="Y156" s="63"/>
      <c r="Z156" s="63"/>
      <c r="AA156" s="63"/>
      <c r="AB156" s="9"/>
      <c r="AC156" s="140"/>
      <c r="AD156" s="140"/>
      <c r="AE156" s="140"/>
      <c r="AF156" s="140"/>
    </row>
    <row r="157" spans="1:32" s="201" customFormat="1" ht="11.25" customHeight="1">
      <c r="A157" s="564"/>
      <c r="B157" s="68"/>
      <c r="C157" s="68"/>
      <c r="L157" s="63"/>
      <c r="M157" s="68"/>
      <c r="N157" s="68"/>
      <c r="O157" s="63"/>
      <c r="P157" s="63"/>
      <c r="Q157" s="63"/>
      <c r="R157" s="63"/>
      <c r="S157" s="68"/>
      <c r="T157" s="63"/>
      <c r="U157" s="63"/>
      <c r="V157" s="307"/>
      <c r="W157" s="63"/>
      <c r="X157" s="63"/>
      <c r="Y157" s="63"/>
      <c r="Z157" s="63"/>
      <c r="AA157" s="63"/>
      <c r="AB157" s="9"/>
      <c r="AC157" s="140"/>
      <c r="AD157" s="140"/>
      <c r="AE157" s="140"/>
      <c r="AF157" s="140"/>
    </row>
    <row r="158" spans="1:32" s="201" customFormat="1" ht="11.25" customHeight="1">
      <c r="A158" s="564"/>
      <c r="B158" s="68"/>
      <c r="C158" s="68"/>
      <c r="L158" s="63"/>
      <c r="M158" s="68"/>
      <c r="N158" s="68"/>
      <c r="O158" s="63"/>
      <c r="P158" s="63"/>
      <c r="Q158" s="63"/>
      <c r="R158" s="63"/>
      <c r="S158" s="68"/>
      <c r="T158" s="63"/>
      <c r="U158" s="63"/>
      <c r="V158" s="307"/>
      <c r="W158" s="63"/>
      <c r="X158" s="63"/>
      <c r="Y158" s="63"/>
      <c r="Z158" s="63"/>
      <c r="AA158" s="63"/>
      <c r="AB158" s="9"/>
      <c r="AC158" s="140"/>
      <c r="AD158" s="140"/>
      <c r="AE158" s="140"/>
      <c r="AF158" s="140"/>
    </row>
    <row r="159" spans="1:32" s="201" customFormat="1" ht="11.25" customHeight="1">
      <c r="A159" s="564"/>
      <c r="B159" s="68"/>
      <c r="C159" s="68"/>
      <c r="L159" s="63"/>
      <c r="M159" s="68"/>
      <c r="N159" s="68"/>
      <c r="O159" s="63"/>
      <c r="P159" s="63"/>
      <c r="Q159" s="63"/>
      <c r="R159" s="63"/>
      <c r="S159" s="68"/>
      <c r="T159" s="63"/>
      <c r="U159" s="63"/>
      <c r="V159" s="307"/>
      <c r="W159" s="63"/>
      <c r="X159" s="63"/>
      <c r="Y159" s="63"/>
      <c r="Z159" s="63"/>
      <c r="AA159" s="63"/>
      <c r="AB159" s="9"/>
      <c r="AC159" s="140"/>
      <c r="AD159" s="140"/>
      <c r="AE159" s="140"/>
      <c r="AF159" s="140"/>
    </row>
    <row r="160" spans="1:32" s="201" customFormat="1" ht="11.25" customHeight="1">
      <c r="A160" s="564"/>
      <c r="B160" s="68"/>
      <c r="C160" s="68"/>
      <c r="L160" s="63"/>
      <c r="M160" s="68"/>
      <c r="N160" s="68"/>
      <c r="O160" s="63"/>
      <c r="P160" s="63"/>
      <c r="Q160" s="63"/>
      <c r="R160" s="63"/>
      <c r="S160" s="68"/>
      <c r="T160" s="63"/>
      <c r="U160" s="63"/>
      <c r="V160" s="307"/>
      <c r="W160" s="63"/>
      <c r="X160" s="63"/>
      <c r="Y160" s="63"/>
      <c r="Z160" s="63"/>
      <c r="AA160" s="63"/>
      <c r="AB160" s="9"/>
      <c r="AC160" s="140"/>
      <c r="AD160" s="140"/>
      <c r="AE160" s="140"/>
      <c r="AF160" s="140"/>
    </row>
    <row r="161" spans="1:32" s="201" customFormat="1" ht="11.25" customHeight="1">
      <c r="A161" s="564"/>
      <c r="B161" s="68"/>
      <c r="C161" s="68"/>
      <c r="L161" s="63"/>
      <c r="M161" s="68"/>
      <c r="N161" s="68"/>
      <c r="O161" s="63"/>
      <c r="P161" s="63"/>
      <c r="Q161" s="63"/>
      <c r="R161" s="63"/>
      <c r="S161" s="68"/>
      <c r="T161" s="63"/>
      <c r="U161" s="63"/>
      <c r="V161" s="307"/>
      <c r="W161" s="63"/>
      <c r="X161" s="63"/>
      <c r="Y161" s="63"/>
      <c r="Z161" s="63"/>
      <c r="AA161" s="63"/>
      <c r="AB161" s="9"/>
      <c r="AC161" s="140"/>
      <c r="AD161" s="140"/>
      <c r="AE161" s="140"/>
      <c r="AF161" s="140"/>
    </row>
    <row r="162" spans="1:32" s="201" customFormat="1" ht="11.25" customHeight="1">
      <c r="A162" s="564"/>
      <c r="B162" s="68"/>
      <c r="C162" s="68"/>
      <c r="L162" s="63"/>
      <c r="M162" s="68"/>
      <c r="N162" s="68"/>
      <c r="O162" s="63"/>
      <c r="P162" s="63"/>
      <c r="Q162" s="63"/>
      <c r="R162" s="63"/>
      <c r="S162" s="68"/>
      <c r="T162" s="63"/>
      <c r="U162" s="63"/>
      <c r="V162" s="307"/>
      <c r="W162" s="63"/>
      <c r="X162" s="63"/>
      <c r="Y162" s="63"/>
      <c r="Z162" s="63"/>
      <c r="AA162" s="63"/>
      <c r="AB162" s="9"/>
      <c r="AC162" s="140"/>
      <c r="AD162" s="140"/>
      <c r="AE162" s="140"/>
      <c r="AF162" s="140"/>
    </row>
    <row r="163" spans="1:32" s="201" customFormat="1" ht="11.25" customHeight="1">
      <c r="A163" s="564"/>
      <c r="B163" s="68"/>
      <c r="C163" s="68"/>
      <c r="L163" s="63"/>
      <c r="M163" s="68"/>
      <c r="N163" s="68"/>
      <c r="O163" s="63"/>
      <c r="P163" s="63"/>
      <c r="Q163" s="63"/>
      <c r="R163" s="63"/>
      <c r="S163" s="68"/>
      <c r="T163" s="63"/>
      <c r="U163" s="63"/>
      <c r="V163" s="307"/>
      <c r="W163" s="63"/>
      <c r="X163" s="63"/>
      <c r="Y163" s="63"/>
      <c r="Z163" s="63"/>
      <c r="AA163" s="63"/>
      <c r="AB163" s="9"/>
      <c r="AC163" s="140"/>
      <c r="AD163" s="140"/>
      <c r="AE163" s="140"/>
      <c r="AF163" s="140"/>
    </row>
    <row r="164" spans="1:32" s="201" customFormat="1" ht="11.25" customHeight="1">
      <c r="A164" s="564"/>
      <c r="B164" s="68"/>
      <c r="C164" s="68"/>
      <c r="L164" s="63"/>
      <c r="M164" s="68"/>
      <c r="N164" s="68"/>
      <c r="O164" s="63"/>
      <c r="P164" s="63"/>
      <c r="Q164" s="63"/>
      <c r="R164" s="63"/>
      <c r="S164" s="68"/>
      <c r="T164" s="63"/>
      <c r="U164" s="63"/>
      <c r="V164" s="307"/>
      <c r="W164" s="63"/>
      <c r="X164" s="63"/>
      <c r="Y164" s="63"/>
      <c r="Z164" s="63"/>
      <c r="AA164" s="63"/>
      <c r="AB164" s="9"/>
      <c r="AC164" s="140"/>
      <c r="AD164" s="140"/>
      <c r="AE164" s="140"/>
      <c r="AF164" s="140"/>
    </row>
    <row r="165" spans="1:32" s="201" customFormat="1" ht="11.25" customHeight="1">
      <c r="A165" s="564"/>
      <c r="B165" s="68"/>
      <c r="C165" s="68"/>
      <c r="L165" s="63"/>
      <c r="M165" s="68"/>
      <c r="N165" s="68"/>
      <c r="O165" s="63"/>
      <c r="P165" s="63"/>
      <c r="Q165" s="63"/>
      <c r="R165" s="63"/>
      <c r="S165" s="68"/>
      <c r="T165" s="63"/>
      <c r="U165" s="63"/>
      <c r="V165" s="307"/>
      <c r="W165" s="63"/>
      <c r="X165" s="63"/>
      <c r="Y165" s="63"/>
      <c r="Z165" s="63"/>
      <c r="AA165" s="63"/>
      <c r="AB165" s="9"/>
      <c r="AC165" s="140"/>
      <c r="AD165" s="140"/>
      <c r="AE165" s="140"/>
      <c r="AF165" s="140"/>
    </row>
    <row r="166" spans="1:32" s="201" customFormat="1" ht="11.25" customHeight="1">
      <c r="A166" s="564"/>
      <c r="B166" s="68"/>
      <c r="C166" s="68"/>
      <c r="L166" s="63"/>
      <c r="M166" s="68"/>
      <c r="N166" s="68"/>
      <c r="O166" s="63"/>
      <c r="P166" s="63"/>
      <c r="Q166" s="63"/>
      <c r="R166" s="63"/>
      <c r="S166" s="68"/>
      <c r="T166" s="63"/>
      <c r="U166" s="63"/>
      <c r="V166" s="307"/>
      <c r="W166" s="63"/>
      <c r="X166" s="63"/>
      <c r="Y166" s="63"/>
      <c r="Z166" s="63"/>
      <c r="AA166" s="63"/>
      <c r="AB166" s="9"/>
      <c r="AC166" s="140"/>
      <c r="AD166" s="140"/>
      <c r="AE166" s="140"/>
      <c r="AF166" s="140"/>
    </row>
    <row r="167" spans="1:32" s="201" customFormat="1" ht="11.25" customHeight="1">
      <c r="A167" s="564"/>
      <c r="B167" s="68"/>
      <c r="C167" s="68"/>
      <c r="L167" s="63"/>
      <c r="M167" s="68"/>
      <c r="N167" s="68"/>
      <c r="O167" s="63"/>
      <c r="P167" s="63"/>
      <c r="Q167" s="63"/>
      <c r="R167" s="63"/>
      <c r="S167" s="68"/>
      <c r="T167" s="63"/>
      <c r="U167" s="63"/>
      <c r="V167" s="307"/>
      <c r="W167" s="63"/>
      <c r="X167" s="63"/>
      <c r="Y167" s="63"/>
      <c r="Z167" s="63"/>
      <c r="AA167" s="63"/>
      <c r="AB167" s="9"/>
      <c r="AC167" s="140"/>
      <c r="AD167" s="140"/>
      <c r="AE167" s="140"/>
      <c r="AF167" s="140"/>
    </row>
    <row r="168" spans="1:32" s="201" customFormat="1" ht="11.25" customHeight="1">
      <c r="A168" s="564"/>
      <c r="B168" s="68"/>
      <c r="C168" s="68"/>
      <c r="L168" s="63"/>
      <c r="M168" s="68"/>
      <c r="N168" s="68"/>
      <c r="O168" s="63"/>
      <c r="P168" s="63"/>
      <c r="Q168" s="63"/>
      <c r="R168" s="63"/>
      <c r="S168" s="68"/>
      <c r="T168" s="63"/>
      <c r="U168" s="63"/>
      <c r="V168" s="307"/>
      <c r="W168" s="63"/>
      <c r="X168" s="63"/>
      <c r="Y168" s="63"/>
      <c r="Z168" s="63"/>
      <c r="AA168" s="63"/>
      <c r="AB168" s="9"/>
      <c r="AC168" s="140"/>
      <c r="AD168" s="140"/>
      <c r="AE168" s="140"/>
      <c r="AF168" s="140"/>
    </row>
    <row r="169" spans="1:32" s="201" customFormat="1" ht="11.25" customHeight="1">
      <c r="A169" s="564"/>
      <c r="B169" s="68"/>
      <c r="C169" s="68"/>
      <c r="L169" s="63"/>
      <c r="M169" s="68"/>
      <c r="N169" s="68"/>
      <c r="O169" s="63"/>
      <c r="P169" s="63"/>
      <c r="Q169" s="63"/>
      <c r="R169" s="63"/>
      <c r="S169" s="68"/>
      <c r="T169" s="63"/>
      <c r="U169" s="63"/>
      <c r="V169" s="307"/>
      <c r="W169" s="63"/>
      <c r="X169" s="63"/>
      <c r="Y169" s="63"/>
      <c r="Z169" s="63"/>
      <c r="AA169" s="63"/>
      <c r="AB169" s="9"/>
      <c r="AC169" s="140"/>
      <c r="AD169" s="140"/>
      <c r="AE169" s="140"/>
      <c r="AF169" s="140"/>
    </row>
    <row r="170" spans="1:32" s="201" customFormat="1" ht="11.25" customHeight="1">
      <c r="A170" s="564"/>
      <c r="B170" s="68"/>
      <c r="C170" s="68"/>
      <c r="L170" s="63"/>
      <c r="M170" s="68"/>
      <c r="N170" s="68"/>
      <c r="O170" s="63"/>
      <c r="P170" s="63"/>
      <c r="Q170" s="63"/>
      <c r="R170" s="63"/>
      <c r="S170" s="68"/>
      <c r="T170" s="63"/>
      <c r="U170" s="63"/>
      <c r="V170" s="307"/>
      <c r="W170" s="63"/>
      <c r="X170" s="63"/>
      <c r="Y170" s="63"/>
      <c r="Z170" s="63"/>
      <c r="AA170" s="63"/>
      <c r="AB170" s="9"/>
      <c r="AC170" s="140"/>
      <c r="AD170" s="140"/>
      <c r="AE170" s="140"/>
      <c r="AF170" s="140"/>
    </row>
    <row r="171" spans="1:32" s="201" customFormat="1" ht="11.25" customHeight="1">
      <c r="A171" s="564"/>
      <c r="B171" s="68"/>
      <c r="C171" s="68"/>
      <c r="L171" s="63"/>
      <c r="M171" s="68"/>
      <c r="N171" s="68"/>
      <c r="O171" s="63"/>
      <c r="P171" s="63"/>
      <c r="Q171" s="63"/>
      <c r="R171" s="63"/>
      <c r="S171" s="68"/>
      <c r="T171" s="63"/>
      <c r="U171" s="63"/>
      <c r="V171" s="307"/>
      <c r="W171" s="63"/>
      <c r="X171" s="63"/>
      <c r="Y171" s="63"/>
      <c r="Z171" s="63"/>
      <c r="AA171" s="63"/>
      <c r="AB171" s="9"/>
      <c r="AC171" s="140"/>
      <c r="AD171" s="140"/>
      <c r="AE171" s="140"/>
      <c r="AF171" s="140"/>
    </row>
    <row r="172" spans="1:32" s="201" customFormat="1" ht="11.25" customHeight="1">
      <c r="A172" s="564"/>
      <c r="B172" s="68"/>
      <c r="C172" s="68"/>
      <c r="L172" s="63"/>
      <c r="M172" s="68"/>
      <c r="N172" s="68"/>
      <c r="O172" s="63"/>
      <c r="P172" s="63"/>
      <c r="Q172" s="63"/>
      <c r="R172" s="63"/>
      <c r="S172" s="68"/>
      <c r="T172" s="63"/>
      <c r="U172" s="63"/>
      <c r="V172" s="307"/>
      <c r="W172" s="63"/>
      <c r="X172" s="63"/>
      <c r="Y172" s="63"/>
      <c r="Z172" s="63"/>
      <c r="AA172" s="63"/>
      <c r="AB172" s="9"/>
      <c r="AC172" s="140"/>
      <c r="AD172" s="140"/>
      <c r="AE172" s="140"/>
      <c r="AF172" s="140"/>
    </row>
    <row r="173" spans="1:32" s="201" customFormat="1" ht="11.25" customHeight="1">
      <c r="A173" s="564"/>
      <c r="B173" s="68"/>
      <c r="C173" s="68"/>
      <c r="L173" s="63"/>
      <c r="M173" s="68"/>
      <c r="N173" s="68"/>
      <c r="O173" s="63"/>
      <c r="P173" s="63"/>
      <c r="Q173" s="63"/>
      <c r="R173" s="63"/>
      <c r="S173" s="68"/>
      <c r="T173" s="63"/>
      <c r="U173" s="63"/>
      <c r="V173" s="307"/>
      <c r="W173" s="63"/>
      <c r="X173" s="63"/>
      <c r="Y173" s="63"/>
      <c r="Z173" s="63"/>
      <c r="AA173" s="63"/>
      <c r="AB173" s="9"/>
      <c r="AC173" s="140"/>
      <c r="AD173" s="140"/>
      <c r="AE173" s="140"/>
      <c r="AF173" s="140"/>
    </row>
    <row r="174" spans="1:32" s="201" customFormat="1" ht="11.25" customHeight="1">
      <c r="A174" s="564"/>
      <c r="B174" s="68"/>
      <c r="C174" s="68"/>
      <c r="L174" s="63"/>
      <c r="M174" s="68"/>
      <c r="N174" s="68"/>
      <c r="O174" s="63"/>
      <c r="P174" s="63"/>
      <c r="Q174" s="63"/>
      <c r="R174" s="63"/>
      <c r="S174" s="68"/>
      <c r="T174" s="63"/>
      <c r="U174" s="63"/>
      <c r="V174" s="307"/>
      <c r="W174" s="63"/>
      <c r="X174" s="63"/>
      <c r="Y174" s="63"/>
      <c r="Z174" s="63"/>
      <c r="AA174" s="63"/>
      <c r="AB174" s="9"/>
      <c r="AC174" s="140"/>
      <c r="AD174" s="140"/>
      <c r="AE174" s="140"/>
      <c r="AF174" s="140"/>
    </row>
    <row r="175" spans="1:32" s="201" customFormat="1" ht="11.25" customHeight="1">
      <c r="A175" s="564"/>
      <c r="B175" s="68"/>
      <c r="C175" s="68"/>
      <c r="L175" s="63"/>
      <c r="M175" s="68"/>
      <c r="N175" s="68"/>
      <c r="O175" s="63"/>
      <c r="P175" s="63"/>
      <c r="Q175" s="63"/>
      <c r="R175" s="63"/>
      <c r="S175" s="68"/>
      <c r="T175" s="63"/>
      <c r="U175" s="63"/>
      <c r="V175" s="307"/>
      <c r="W175" s="63"/>
      <c r="X175" s="63"/>
      <c r="Y175" s="63"/>
      <c r="Z175" s="63"/>
      <c r="AA175" s="63"/>
      <c r="AB175" s="9"/>
      <c r="AC175" s="140"/>
      <c r="AD175" s="140"/>
      <c r="AE175" s="140"/>
      <c r="AF175" s="140"/>
    </row>
    <row r="176" spans="1:32" s="201" customFormat="1" ht="11.25" customHeight="1">
      <c r="A176" s="564"/>
      <c r="B176" s="68"/>
      <c r="C176" s="68"/>
      <c r="L176" s="63"/>
      <c r="M176" s="68"/>
      <c r="N176" s="68"/>
      <c r="O176" s="63"/>
      <c r="P176" s="63"/>
      <c r="Q176" s="63"/>
      <c r="R176" s="63"/>
      <c r="S176" s="68"/>
      <c r="T176" s="63"/>
      <c r="U176" s="63"/>
      <c r="V176" s="307"/>
      <c r="W176" s="63"/>
      <c r="X176" s="63"/>
      <c r="Y176" s="63"/>
      <c r="Z176" s="63"/>
      <c r="AA176" s="63"/>
      <c r="AB176" s="9"/>
      <c r="AC176" s="140"/>
      <c r="AD176" s="140"/>
      <c r="AE176" s="140"/>
      <c r="AF176" s="140"/>
    </row>
    <row r="177" spans="1:32" s="201" customFormat="1" ht="11.25" customHeight="1">
      <c r="A177" s="564"/>
      <c r="B177" s="68"/>
      <c r="C177" s="68"/>
      <c r="L177" s="63"/>
      <c r="M177" s="68"/>
      <c r="N177" s="68"/>
      <c r="O177" s="63"/>
      <c r="P177" s="63"/>
      <c r="Q177" s="63"/>
      <c r="R177" s="63"/>
      <c r="S177" s="68"/>
      <c r="T177" s="63"/>
      <c r="U177" s="63"/>
      <c r="V177" s="307"/>
      <c r="W177" s="63"/>
      <c r="X177" s="63"/>
      <c r="Y177" s="63"/>
      <c r="Z177" s="63"/>
      <c r="AA177" s="63"/>
      <c r="AB177" s="9"/>
      <c r="AC177" s="140"/>
      <c r="AD177" s="140"/>
      <c r="AE177" s="140"/>
      <c r="AF177" s="140"/>
    </row>
    <row r="178" spans="1:32" s="201" customFormat="1" ht="11.25" customHeight="1">
      <c r="A178" s="564"/>
      <c r="B178" s="68"/>
      <c r="C178" s="68"/>
      <c r="L178" s="63"/>
      <c r="M178" s="68"/>
      <c r="N178" s="68"/>
      <c r="O178" s="63"/>
      <c r="P178" s="63"/>
      <c r="Q178" s="63"/>
      <c r="R178" s="63"/>
      <c r="S178" s="68"/>
      <c r="T178" s="63"/>
      <c r="U178" s="63"/>
      <c r="V178" s="307"/>
      <c r="W178" s="63"/>
      <c r="X178" s="63"/>
      <c r="Y178" s="63"/>
      <c r="Z178" s="63"/>
      <c r="AA178" s="63"/>
      <c r="AB178" s="9"/>
      <c r="AC178" s="140"/>
      <c r="AD178" s="140"/>
      <c r="AE178" s="140"/>
      <c r="AF178" s="140"/>
    </row>
    <row r="179" spans="1:32" s="201" customFormat="1" ht="11.25" customHeight="1">
      <c r="A179" s="564"/>
      <c r="B179" s="68"/>
      <c r="C179" s="68"/>
      <c r="L179" s="63"/>
      <c r="M179" s="68"/>
      <c r="N179" s="68"/>
      <c r="O179" s="63"/>
      <c r="P179" s="63"/>
      <c r="Q179" s="63"/>
      <c r="R179" s="63"/>
      <c r="S179" s="68"/>
      <c r="T179" s="63"/>
      <c r="U179" s="63"/>
      <c r="V179" s="307"/>
      <c r="W179" s="63"/>
      <c r="X179" s="63"/>
      <c r="Y179" s="63"/>
      <c r="Z179" s="63"/>
      <c r="AA179" s="63"/>
      <c r="AB179" s="9"/>
      <c r="AC179" s="140"/>
      <c r="AD179" s="140"/>
      <c r="AE179" s="140"/>
      <c r="AF179" s="140"/>
    </row>
    <row r="180" spans="1:32" s="201" customFormat="1" ht="11.25" customHeight="1">
      <c r="A180" s="564"/>
      <c r="B180" s="68"/>
      <c r="C180" s="68"/>
      <c r="L180" s="63"/>
      <c r="M180" s="68"/>
      <c r="N180" s="68"/>
      <c r="O180" s="63"/>
      <c r="P180" s="63"/>
      <c r="Q180" s="63"/>
      <c r="R180" s="63"/>
      <c r="S180" s="68"/>
      <c r="T180" s="63"/>
      <c r="U180" s="63"/>
      <c r="V180" s="307"/>
      <c r="W180" s="63"/>
      <c r="X180" s="63"/>
      <c r="Y180" s="63"/>
      <c r="Z180" s="63"/>
      <c r="AA180" s="63"/>
      <c r="AB180" s="9"/>
      <c r="AC180" s="140"/>
      <c r="AD180" s="140"/>
      <c r="AE180" s="140"/>
      <c r="AF180" s="140"/>
    </row>
    <row r="181" spans="1:32" s="201" customFormat="1" ht="11.25" customHeight="1">
      <c r="A181" s="564"/>
      <c r="B181" s="68"/>
      <c r="C181" s="68"/>
      <c r="L181" s="63"/>
      <c r="M181" s="68"/>
      <c r="N181" s="68"/>
      <c r="O181" s="63"/>
      <c r="P181" s="63"/>
      <c r="Q181" s="63"/>
      <c r="R181" s="63"/>
      <c r="S181" s="68"/>
      <c r="T181" s="63"/>
      <c r="U181" s="63"/>
      <c r="V181" s="307"/>
      <c r="W181" s="63"/>
      <c r="X181" s="63"/>
      <c r="Y181" s="63"/>
      <c r="Z181" s="63"/>
      <c r="AA181" s="63"/>
      <c r="AB181" s="9"/>
      <c r="AC181" s="140"/>
      <c r="AD181" s="140"/>
      <c r="AE181" s="140"/>
      <c r="AF181" s="140"/>
    </row>
    <row r="182" spans="1:32" s="201" customFormat="1" ht="11.25" customHeight="1">
      <c r="A182" s="564"/>
      <c r="B182" s="68"/>
      <c r="C182" s="68"/>
      <c r="L182" s="63"/>
      <c r="M182" s="68"/>
      <c r="N182" s="68"/>
      <c r="O182" s="63"/>
      <c r="P182" s="63"/>
      <c r="Q182" s="63"/>
      <c r="R182" s="63"/>
      <c r="S182" s="68"/>
      <c r="T182" s="63"/>
      <c r="U182" s="63"/>
      <c r="V182" s="307"/>
      <c r="W182" s="63"/>
      <c r="X182" s="63"/>
      <c r="Y182" s="63"/>
      <c r="Z182" s="63"/>
      <c r="AA182" s="63"/>
      <c r="AB182" s="9"/>
      <c r="AC182" s="140"/>
      <c r="AD182" s="140"/>
      <c r="AE182" s="140"/>
      <c r="AF182" s="140"/>
    </row>
    <row r="183" spans="1:32" s="201" customFormat="1" ht="11.25" customHeight="1">
      <c r="A183" s="564"/>
      <c r="B183" s="68"/>
      <c r="C183" s="68"/>
      <c r="L183" s="63"/>
      <c r="M183" s="68"/>
      <c r="N183" s="68"/>
      <c r="O183" s="63"/>
      <c r="P183" s="63"/>
      <c r="Q183" s="63"/>
      <c r="R183" s="63"/>
      <c r="S183" s="68"/>
      <c r="T183" s="63"/>
      <c r="U183" s="63"/>
      <c r="V183" s="307"/>
      <c r="W183" s="63"/>
      <c r="X183" s="63"/>
      <c r="Y183" s="63"/>
      <c r="Z183" s="63"/>
      <c r="AA183" s="63"/>
      <c r="AB183" s="9"/>
      <c r="AC183" s="140"/>
      <c r="AD183" s="140"/>
      <c r="AE183" s="140"/>
      <c r="AF183" s="140"/>
    </row>
    <row r="184" spans="1:32" s="201" customFormat="1" ht="11.25" customHeight="1">
      <c r="A184" s="564"/>
      <c r="B184" s="68"/>
      <c r="C184" s="68"/>
      <c r="L184" s="63"/>
      <c r="M184" s="68"/>
      <c r="N184" s="68"/>
      <c r="O184" s="63"/>
      <c r="P184" s="63"/>
      <c r="Q184" s="63"/>
      <c r="R184" s="63"/>
      <c r="S184" s="68"/>
      <c r="T184" s="63"/>
      <c r="U184" s="63"/>
      <c r="V184" s="307"/>
      <c r="W184" s="63"/>
      <c r="X184" s="63"/>
      <c r="Y184" s="63"/>
      <c r="Z184" s="63"/>
      <c r="AA184" s="63"/>
      <c r="AB184" s="9"/>
      <c r="AC184" s="140"/>
      <c r="AD184" s="140"/>
      <c r="AE184" s="140"/>
      <c r="AF184" s="140"/>
    </row>
    <row r="185" spans="1:32" s="201" customFormat="1" ht="11.25" customHeight="1">
      <c r="A185" s="564"/>
      <c r="B185" s="68"/>
      <c r="C185" s="68"/>
      <c r="L185" s="63"/>
      <c r="M185" s="68"/>
      <c r="N185" s="68"/>
      <c r="O185" s="63"/>
      <c r="P185" s="63"/>
      <c r="Q185" s="63"/>
      <c r="R185" s="63"/>
      <c r="S185" s="68"/>
      <c r="T185" s="63"/>
      <c r="U185" s="63"/>
      <c r="V185" s="307"/>
      <c r="W185" s="63"/>
      <c r="X185" s="63"/>
      <c r="Y185" s="63"/>
      <c r="Z185" s="63"/>
      <c r="AA185" s="63"/>
      <c r="AB185" s="9"/>
      <c r="AC185" s="140"/>
      <c r="AD185" s="140"/>
      <c r="AE185" s="140"/>
      <c r="AF185" s="140"/>
    </row>
    <row r="186" spans="1:32" s="201" customFormat="1" ht="11.25" customHeight="1">
      <c r="A186" s="564"/>
      <c r="B186" s="68"/>
      <c r="C186" s="68"/>
      <c r="L186" s="63"/>
      <c r="M186" s="68"/>
      <c r="N186" s="68"/>
      <c r="O186" s="63"/>
      <c r="P186" s="63"/>
      <c r="Q186" s="63"/>
      <c r="R186" s="63"/>
      <c r="S186" s="68"/>
      <c r="T186" s="63"/>
      <c r="U186" s="63"/>
      <c r="V186" s="307"/>
      <c r="W186" s="63"/>
      <c r="X186" s="63"/>
      <c r="Y186" s="63"/>
      <c r="Z186" s="63"/>
      <c r="AA186" s="63"/>
      <c r="AB186" s="9"/>
      <c r="AC186" s="140"/>
      <c r="AD186" s="140"/>
      <c r="AE186" s="140"/>
      <c r="AF186" s="140"/>
    </row>
    <row r="187" spans="1:32" s="201" customFormat="1" ht="11.25" customHeight="1">
      <c r="A187" s="564"/>
      <c r="B187" s="68"/>
      <c r="C187" s="68"/>
      <c r="L187" s="63"/>
      <c r="M187" s="68"/>
      <c r="N187" s="68"/>
      <c r="O187" s="63"/>
      <c r="P187" s="63"/>
      <c r="Q187" s="63"/>
      <c r="R187" s="63"/>
      <c r="S187" s="68"/>
      <c r="T187" s="63"/>
      <c r="U187" s="63"/>
      <c r="V187" s="307"/>
      <c r="W187" s="63"/>
      <c r="X187" s="63"/>
      <c r="Y187" s="63"/>
      <c r="Z187" s="63"/>
      <c r="AA187" s="63"/>
      <c r="AB187" s="9"/>
      <c r="AC187" s="140"/>
      <c r="AD187" s="140"/>
      <c r="AE187" s="140"/>
      <c r="AF187" s="140"/>
    </row>
    <row r="188" spans="1:32" s="201" customFormat="1" ht="11.25" customHeight="1">
      <c r="A188" s="564"/>
      <c r="B188" s="68"/>
      <c r="C188" s="68"/>
      <c r="L188" s="63"/>
      <c r="M188" s="68"/>
      <c r="N188" s="68"/>
      <c r="O188" s="63"/>
      <c r="P188" s="63"/>
      <c r="Q188" s="63"/>
      <c r="R188" s="63"/>
      <c r="S188" s="68"/>
      <c r="T188" s="63"/>
      <c r="U188" s="63"/>
      <c r="V188" s="307"/>
      <c r="W188" s="63"/>
      <c r="X188" s="63"/>
      <c r="Y188" s="63"/>
      <c r="Z188" s="63"/>
      <c r="AA188" s="63"/>
      <c r="AB188" s="9"/>
      <c r="AC188" s="140"/>
      <c r="AD188" s="140"/>
      <c r="AE188" s="140"/>
      <c r="AF188" s="140"/>
    </row>
    <row r="189" spans="1:32" s="201" customFormat="1" ht="11.25" customHeight="1">
      <c r="A189" s="564"/>
      <c r="B189" s="68"/>
      <c r="C189" s="68"/>
      <c r="L189" s="63"/>
      <c r="M189" s="68"/>
      <c r="N189" s="68"/>
      <c r="O189" s="63"/>
      <c r="P189" s="63"/>
      <c r="Q189" s="63"/>
      <c r="R189" s="63"/>
      <c r="S189" s="68"/>
      <c r="T189" s="63"/>
      <c r="U189" s="63"/>
      <c r="V189" s="307"/>
      <c r="W189" s="63"/>
      <c r="X189" s="63"/>
      <c r="Y189" s="63"/>
      <c r="Z189" s="63"/>
      <c r="AA189" s="63"/>
      <c r="AB189" s="9"/>
      <c r="AC189" s="140"/>
      <c r="AD189" s="140"/>
      <c r="AE189" s="140"/>
      <c r="AF189" s="140"/>
    </row>
    <row r="190" spans="1:32" s="201" customFormat="1" ht="11.25" customHeight="1">
      <c r="A190" s="564"/>
      <c r="B190" s="68"/>
      <c r="C190" s="68"/>
      <c r="L190" s="63"/>
      <c r="M190" s="68"/>
      <c r="N190" s="68"/>
      <c r="O190" s="63"/>
      <c r="P190" s="63"/>
      <c r="Q190" s="63"/>
      <c r="R190" s="63"/>
      <c r="S190" s="68"/>
      <c r="T190" s="63"/>
      <c r="U190" s="63"/>
      <c r="V190" s="307"/>
      <c r="W190" s="63"/>
      <c r="X190" s="63"/>
      <c r="Y190" s="63"/>
      <c r="Z190" s="63"/>
      <c r="AA190" s="63"/>
      <c r="AB190" s="9"/>
      <c r="AC190" s="140"/>
      <c r="AD190" s="140"/>
      <c r="AE190" s="140"/>
      <c r="AF190" s="140"/>
    </row>
    <row r="191" spans="1:32" s="201" customFormat="1" ht="11.25" customHeight="1">
      <c r="A191" s="564"/>
      <c r="B191" s="68"/>
      <c r="C191" s="68"/>
      <c r="L191" s="63"/>
      <c r="M191" s="68"/>
      <c r="N191" s="68"/>
      <c r="O191" s="63"/>
      <c r="P191" s="63"/>
      <c r="Q191" s="63"/>
      <c r="R191" s="63"/>
      <c r="S191" s="68"/>
      <c r="T191" s="63"/>
      <c r="U191" s="63"/>
      <c r="V191" s="307"/>
      <c r="W191" s="63"/>
      <c r="X191" s="63"/>
      <c r="Y191" s="63"/>
      <c r="Z191" s="63"/>
      <c r="AA191" s="63"/>
      <c r="AB191" s="9"/>
      <c r="AC191" s="140"/>
      <c r="AD191" s="140"/>
      <c r="AE191" s="140"/>
      <c r="AF191" s="140"/>
    </row>
    <row r="192" spans="1:32" s="201" customFormat="1" ht="11.25" customHeight="1">
      <c r="A192" s="564"/>
      <c r="B192" s="68"/>
      <c r="C192" s="68"/>
      <c r="L192" s="63"/>
      <c r="M192" s="68"/>
      <c r="N192" s="68"/>
      <c r="O192" s="63"/>
      <c r="P192" s="63"/>
      <c r="Q192" s="63"/>
      <c r="R192" s="63"/>
      <c r="S192" s="68"/>
      <c r="T192" s="63"/>
      <c r="U192" s="63"/>
      <c r="V192" s="307"/>
      <c r="W192" s="63"/>
      <c r="X192" s="63"/>
      <c r="Y192" s="63"/>
      <c r="Z192" s="63"/>
      <c r="AA192" s="63"/>
      <c r="AB192" s="9"/>
      <c r="AC192" s="140"/>
      <c r="AD192" s="140"/>
      <c r="AE192" s="140"/>
      <c r="AF192" s="140"/>
    </row>
    <row r="193" spans="1:32" s="201" customFormat="1" ht="11.25" customHeight="1">
      <c r="A193" s="564"/>
      <c r="B193" s="68"/>
      <c r="C193" s="68"/>
      <c r="L193" s="63"/>
      <c r="M193" s="68"/>
      <c r="N193" s="68"/>
      <c r="O193" s="63"/>
      <c r="P193" s="63"/>
      <c r="Q193" s="63"/>
      <c r="R193" s="63"/>
      <c r="S193" s="68"/>
      <c r="T193" s="63"/>
      <c r="U193" s="63"/>
      <c r="V193" s="307"/>
      <c r="W193" s="63"/>
      <c r="X193" s="63"/>
      <c r="Y193" s="63"/>
      <c r="Z193" s="63"/>
      <c r="AA193" s="63"/>
      <c r="AB193" s="9"/>
      <c r="AC193" s="140"/>
      <c r="AD193" s="140"/>
      <c r="AE193" s="140"/>
      <c r="AF193" s="140"/>
    </row>
    <row r="194" spans="1:32" s="201" customFormat="1" ht="11.25" customHeight="1">
      <c r="A194" s="564"/>
      <c r="B194" s="68"/>
      <c r="C194" s="68"/>
      <c r="L194" s="63"/>
      <c r="M194" s="68"/>
      <c r="N194" s="68"/>
      <c r="O194" s="63"/>
      <c r="P194" s="63"/>
      <c r="Q194" s="63"/>
      <c r="R194" s="63"/>
      <c r="S194" s="68"/>
      <c r="T194" s="63"/>
      <c r="U194" s="63"/>
      <c r="V194" s="307"/>
      <c r="W194" s="63"/>
      <c r="X194" s="63"/>
      <c r="Y194" s="63"/>
      <c r="Z194" s="63"/>
      <c r="AA194" s="63"/>
      <c r="AB194" s="9"/>
      <c r="AC194" s="140"/>
      <c r="AD194" s="140"/>
      <c r="AE194" s="140"/>
      <c r="AF194" s="140"/>
    </row>
    <row r="195" spans="1:32" s="201" customFormat="1" ht="11.25" customHeight="1">
      <c r="A195" s="564"/>
      <c r="B195" s="68"/>
      <c r="C195" s="68"/>
      <c r="L195" s="63"/>
      <c r="M195" s="68"/>
      <c r="N195" s="68"/>
      <c r="O195" s="63"/>
      <c r="P195" s="63"/>
      <c r="Q195" s="63"/>
      <c r="R195" s="63"/>
      <c r="S195" s="68"/>
      <c r="T195" s="63"/>
      <c r="U195" s="63"/>
      <c r="V195" s="307"/>
      <c r="W195" s="63"/>
      <c r="X195" s="63"/>
      <c r="Y195" s="63"/>
      <c r="Z195" s="63"/>
      <c r="AA195" s="63"/>
      <c r="AB195" s="9"/>
      <c r="AC195" s="140"/>
      <c r="AD195" s="140"/>
      <c r="AE195" s="140"/>
      <c r="AF195" s="140"/>
    </row>
    <row r="196" spans="1:32" s="201" customFormat="1" ht="11.25" customHeight="1">
      <c r="A196" s="564"/>
      <c r="B196" s="68"/>
      <c r="C196" s="68"/>
      <c r="L196" s="63"/>
      <c r="M196" s="68"/>
      <c r="N196" s="68"/>
      <c r="O196" s="63"/>
      <c r="P196" s="63"/>
      <c r="Q196" s="63"/>
      <c r="R196" s="63"/>
      <c r="S196" s="68"/>
      <c r="T196" s="63"/>
      <c r="U196" s="63"/>
      <c r="V196" s="307"/>
      <c r="W196" s="63"/>
      <c r="X196" s="63"/>
      <c r="Y196" s="63"/>
      <c r="Z196" s="63"/>
      <c r="AA196" s="63"/>
      <c r="AB196" s="9"/>
      <c r="AC196" s="140"/>
      <c r="AD196" s="140"/>
      <c r="AE196" s="140"/>
      <c r="AF196" s="140"/>
    </row>
    <row r="197" spans="1:32" s="201" customFormat="1" ht="11.25" customHeight="1">
      <c r="A197" s="564"/>
      <c r="B197" s="68"/>
      <c r="C197" s="68"/>
      <c r="L197" s="63"/>
      <c r="M197" s="68"/>
      <c r="N197" s="68"/>
      <c r="O197" s="63"/>
      <c r="P197" s="63"/>
      <c r="Q197" s="63"/>
      <c r="R197" s="63"/>
      <c r="S197" s="68"/>
      <c r="T197" s="63"/>
      <c r="U197" s="63"/>
      <c r="V197" s="307"/>
      <c r="W197" s="63"/>
      <c r="X197" s="63"/>
      <c r="Y197" s="63"/>
      <c r="Z197" s="63"/>
      <c r="AA197" s="63"/>
      <c r="AB197" s="9"/>
      <c r="AC197" s="140"/>
      <c r="AD197" s="140"/>
      <c r="AE197" s="140"/>
      <c r="AF197" s="140"/>
    </row>
    <row r="198" spans="1:32" s="201" customFormat="1" ht="11.25" customHeight="1">
      <c r="A198" s="564"/>
      <c r="B198" s="68"/>
      <c r="C198" s="68"/>
      <c r="L198" s="63"/>
      <c r="M198" s="68"/>
      <c r="N198" s="68"/>
      <c r="O198" s="63"/>
      <c r="P198" s="63"/>
      <c r="Q198" s="63"/>
      <c r="R198" s="63"/>
      <c r="S198" s="68"/>
      <c r="T198" s="63"/>
      <c r="U198" s="63"/>
      <c r="V198" s="307"/>
      <c r="W198" s="63"/>
      <c r="X198" s="63"/>
      <c r="Y198" s="63"/>
      <c r="Z198" s="63"/>
      <c r="AA198" s="63"/>
      <c r="AB198" s="9"/>
      <c r="AC198" s="140"/>
      <c r="AD198" s="140"/>
      <c r="AE198" s="140"/>
      <c r="AF198" s="140"/>
    </row>
    <row r="199" spans="1:32" s="201" customFormat="1" ht="11.25" customHeight="1">
      <c r="A199" s="564"/>
      <c r="B199" s="68"/>
      <c r="C199" s="68"/>
      <c r="L199" s="63"/>
      <c r="M199" s="68"/>
      <c r="N199" s="68"/>
      <c r="O199" s="63"/>
      <c r="P199" s="63"/>
      <c r="Q199" s="63"/>
      <c r="R199" s="63"/>
      <c r="S199" s="68"/>
      <c r="T199" s="63"/>
      <c r="U199" s="63"/>
      <c r="V199" s="307"/>
      <c r="W199" s="63"/>
      <c r="X199" s="63"/>
      <c r="Y199" s="63"/>
      <c r="Z199" s="63"/>
      <c r="AA199" s="63"/>
      <c r="AB199" s="9"/>
      <c r="AC199" s="140"/>
      <c r="AD199" s="140"/>
      <c r="AE199" s="140"/>
      <c r="AF199" s="140"/>
    </row>
    <row r="200" spans="1:32" s="201" customFormat="1" ht="11.25" customHeight="1">
      <c r="A200" s="564"/>
      <c r="B200" s="68"/>
      <c r="C200" s="68"/>
      <c r="L200" s="63"/>
      <c r="M200" s="68"/>
      <c r="N200" s="68"/>
      <c r="O200" s="63"/>
      <c r="P200" s="63"/>
      <c r="Q200" s="63"/>
      <c r="R200" s="63"/>
      <c r="S200" s="68"/>
      <c r="T200" s="63"/>
      <c r="U200" s="63"/>
      <c r="V200" s="307"/>
      <c r="W200" s="63"/>
      <c r="X200" s="63"/>
      <c r="Y200" s="63"/>
      <c r="Z200" s="63"/>
      <c r="AA200" s="63"/>
      <c r="AB200" s="9"/>
      <c r="AC200" s="140"/>
      <c r="AD200" s="140"/>
      <c r="AE200" s="140"/>
      <c r="AF200" s="140"/>
    </row>
    <row r="201" spans="1:32" s="201" customFormat="1" ht="11.25" customHeight="1">
      <c r="A201" s="564"/>
      <c r="B201" s="68"/>
      <c r="C201" s="68"/>
      <c r="L201" s="63"/>
      <c r="M201" s="68"/>
      <c r="N201" s="68"/>
      <c r="O201" s="63"/>
      <c r="P201" s="63"/>
      <c r="Q201" s="63"/>
      <c r="R201" s="63"/>
      <c r="S201" s="68"/>
      <c r="T201" s="63"/>
      <c r="U201" s="63"/>
      <c r="V201" s="307"/>
      <c r="W201" s="63"/>
      <c r="X201" s="63"/>
      <c r="Y201" s="63"/>
      <c r="Z201" s="63"/>
      <c r="AA201" s="63"/>
      <c r="AB201" s="9"/>
      <c r="AC201" s="140"/>
      <c r="AD201" s="140"/>
      <c r="AE201" s="140"/>
      <c r="AF201" s="140"/>
    </row>
    <row r="202" spans="1:32" s="201" customFormat="1" ht="11.25" customHeight="1">
      <c r="A202" s="564"/>
      <c r="B202" s="68"/>
      <c r="C202" s="68"/>
      <c r="L202" s="63"/>
      <c r="M202" s="68"/>
      <c r="N202" s="68"/>
      <c r="O202" s="63"/>
      <c r="P202" s="63"/>
      <c r="Q202" s="63"/>
      <c r="R202" s="63"/>
      <c r="S202" s="68"/>
      <c r="T202" s="63"/>
      <c r="U202" s="63"/>
      <c r="V202" s="307"/>
      <c r="W202" s="63"/>
      <c r="X202" s="63"/>
      <c r="Y202" s="63"/>
      <c r="Z202" s="63"/>
      <c r="AA202" s="63"/>
      <c r="AB202" s="9"/>
      <c r="AC202" s="140"/>
      <c r="AD202" s="140"/>
      <c r="AE202" s="140"/>
      <c r="AF202" s="140"/>
    </row>
    <row r="203" spans="1:32" s="201" customFormat="1" ht="11.25" customHeight="1">
      <c r="A203" s="564"/>
      <c r="B203" s="68"/>
      <c r="C203" s="68"/>
      <c r="L203" s="63"/>
      <c r="M203" s="68"/>
      <c r="N203" s="68"/>
      <c r="O203" s="63"/>
      <c r="P203" s="63"/>
      <c r="Q203" s="63"/>
      <c r="R203" s="63"/>
      <c r="S203" s="68"/>
      <c r="T203" s="63"/>
      <c r="U203" s="63"/>
      <c r="V203" s="307"/>
      <c r="W203" s="63"/>
      <c r="X203" s="63"/>
      <c r="Y203" s="63"/>
      <c r="Z203" s="63"/>
      <c r="AA203" s="63"/>
      <c r="AB203" s="9"/>
      <c r="AC203" s="140"/>
      <c r="AD203" s="140"/>
      <c r="AE203" s="140"/>
      <c r="AF203" s="140"/>
    </row>
    <row r="204" spans="1:32" s="201" customFormat="1" ht="11.25" customHeight="1">
      <c r="A204" s="564"/>
      <c r="B204" s="68"/>
      <c r="C204" s="68"/>
      <c r="L204" s="63"/>
      <c r="M204" s="68"/>
      <c r="N204" s="68"/>
      <c r="O204" s="63"/>
      <c r="P204" s="63"/>
      <c r="Q204" s="63"/>
      <c r="R204" s="63"/>
      <c r="S204" s="68"/>
      <c r="T204" s="63"/>
      <c r="U204" s="63"/>
      <c r="V204" s="307"/>
      <c r="W204" s="63"/>
      <c r="X204" s="63"/>
      <c r="Y204" s="63"/>
      <c r="Z204" s="63"/>
      <c r="AA204" s="63"/>
      <c r="AB204" s="9"/>
      <c r="AC204" s="140"/>
      <c r="AD204" s="140"/>
      <c r="AE204" s="140"/>
      <c r="AF204" s="140"/>
    </row>
    <row r="205" spans="1:32" s="201" customFormat="1" ht="11.25" customHeight="1">
      <c r="A205" s="564"/>
      <c r="B205" s="68"/>
      <c r="C205" s="68"/>
      <c r="L205" s="63"/>
      <c r="M205" s="68"/>
      <c r="N205" s="68"/>
      <c r="O205" s="63"/>
      <c r="P205" s="63"/>
      <c r="Q205" s="63"/>
      <c r="R205" s="63"/>
      <c r="S205" s="68"/>
      <c r="T205" s="63"/>
      <c r="U205" s="63"/>
      <c r="V205" s="307"/>
      <c r="W205" s="63"/>
      <c r="X205" s="63"/>
      <c r="Y205" s="63"/>
      <c r="Z205" s="63"/>
      <c r="AA205" s="63"/>
      <c r="AB205" s="9"/>
      <c r="AC205" s="140"/>
      <c r="AD205" s="140"/>
      <c r="AE205" s="140"/>
      <c r="AF205" s="140"/>
    </row>
    <row r="206" spans="1:32" s="201" customFormat="1" ht="11.25" customHeight="1">
      <c r="A206" s="564"/>
      <c r="B206" s="68"/>
      <c r="C206" s="68"/>
      <c r="L206" s="63"/>
      <c r="M206" s="68"/>
      <c r="N206" s="68"/>
      <c r="O206" s="63"/>
      <c r="P206" s="63"/>
      <c r="Q206" s="63"/>
      <c r="R206" s="63"/>
      <c r="S206" s="68"/>
      <c r="T206" s="63"/>
      <c r="U206" s="63"/>
      <c r="V206" s="307"/>
      <c r="W206" s="63"/>
      <c r="X206" s="63"/>
      <c r="Y206" s="63"/>
      <c r="Z206" s="63"/>
      <c r="AA206" s="63"/>
      <c r="AB206" s="9"/>
      <c r="AC206" s="140"/>
      <c r="AD206" s="140"/>
      <c r="AE206" s="140"/>
      <c r="AF206" s="140"/>
    </row>
    <row r="207" spans="1:32" s="201" customFormat="1" ht="11.25" customHeight="1">
      <c r="A207" s="564"/>
      <c r="B207" s="68"/>
      <c r="C207" s="68"/>
      <c r="L207" s="63"/>
      <c r="M207" s="68"/>
      <c r="N207" s="68"/>
      <c r="O207" s="63"/>
      <c r="P207" s="63"/>
      <c r="Q207" s="63"/>
      <c r="R207" s="63"/>
      <c r="S207" s="68"/>
      <c r="T207" s="63"/>
      <c r="U207" s="63"/>
      <c r="V207" s="307"/>
      <c r="W207" s="63"/>
      <c r="X207" s="63"/>
      <c r="Y207" s="63"/>
      <c r="Z207" s="63"/>
      <c r="AA207" s="63"/>
      <c r="AB207" s="9"/>
      <c r="AC207" s="140"/>
      <c r="AD207" s="140"/>
      <c r="AE207" s="140"/>
      <c r="AF207" s="140"/>
    </row>
    <row r="208" spans="1:32" s="201" customFormat="1" ht="11.25" customHeight="1">
      <c r="A208" s="564"/>
      <c r="B208" s="68"/>
      <c r="C208" s="68"/>
      <c r="L208" s="63"/>
      <c r="M208" s="68"/>
      <c r="N208" s="68"/>
      <c r="O208" s="63"/>
      <c r="P208" s="63"/>
      <c r="Q208" s="63"/>
      <c r="R208" s="63"/>
      <c r="S208" s="68"/>
      <c r="T208" s="63"/>
      <c r="U208" s="63"/>
      <c r="V208" s="307"/>
      <c r="W208" s="63"/>
      <c r="X208" s="63"/>
      <c r="Y208" s="63"/>
      <c r="Z208" s="63"/>
      <c r="AA208" s="63"/>
      <c r="AB208" s="9"/>
      <c r="AC208" s="140"/>
      <c r="AD208" s="140"/>
      <c r="AE208" s="140"/>
      <c r="AF208" s="140"/>
    </row>
    <row r="209" spans="1:32" s="201" customFormat="1" ht="11.25" customHeight="1">
      <c r="A209" s="564"/>
      <c r="B209" s="68"/>
      <c r="C209" s="68"/>
      <c r="L209" s="63"/>
      <c r="M209" s="68"/>
      <c r="N209" s="68"/>
      <c r="O209" s="63"/>
      <c r="P209" s="63"/>
      <c r="Q209" s="63"/>
      <c r="R209" s="63"/>
      <c r="S209" s="68"/>
      <c r="T209" s="63"/>
      <c r="U209" s="63"/>
      <c r="V209" s="307"/>
      <c r="W209" s="63"/>
      <c r="X209" s="63"/>
      <c r="Y209" s="63"/>
      <c r="Z209" s="63"/>
      <c r="AA209" s="63"/>
      <c r="AB209" s="9"/>
      <c r="AC209" s="140"/>
      <c r="AD209" s="140"/>
      <c r="AE209" s="140"/>
      <c r="AF209" s="140"/>
    </row>
    <row r="210" spans="1:32" s="201" customFormat="1" ht="11.25" customHeight="1">
      <c r="A210" s="564"/>
      <c r="B210" s="68"/>
      <c r="C210" s="68"/>
      <c r="L210" s="63"/>
      <c r="M210" s="68"/>
      <c r="N210" s="68"/>
      <c r="O210" s="63"/>
      <c r="P210" s="63"/>
      <c r="Q210" s="63"/>
      <c r="R210" s="63"/>
      <c r="S210" s="68"/>
      <c r="T210" s="63"/>
      <c r="U210" s="63"/>
      <c r="V210" s="307"/>
      <c r="W210" s="63"/>
      <c r="X210" s="63"/>
      <c r="Y210" s="63"/>
      <c r="Z210" s="63"/>
      <c r="AA210" s="63"/>
      <c r="AB210" s="9"/>
      <c r="AC210" s="140"/>
      <c r="AD210" s="140"/>
      <c r="AE210" s="140"/>
      <c r="AF210" s="140"/>
    </row>
    <row r="211" spans="1:32" s="201" customFormat="1" ht="11.25" customHeight="1">
      <c r="A211" s="564"/>
      <c r="B211" s="68"/>
      <c r="C211" s="68"/>
      <c r="L211" s="63"/>
      <c r="M211" s="68"/>
      <c r="N211" s="68"/>
      <c r="O211" s="63"/>
      <c r="P211" s="63"/>
      <c r="Q211" s="63"/>
      <c r="R211" s="63"/>
      <c r="S211" s="68"/>
      <c r="T211" s="63"/>
      <c r="U211" s="63"/>
      <c r="V211" s="307"/>
      <c r="W211" s="63"/>
      <c r="X211" s="63"/>
      <c r="Y211" s="63"/>
      <c r="Z211" s="63"/>
      <c r="AA211" s="63"/>
      <c r="AB211" s="9"/>
      <c r="AC211" s="140"/>
      <c r="AD211" s="140"/>
      <c r="AE211" s="140"/>
      <c r="AF211" s="140"/>
    </row>
    <row r="212" spans="1:32" s="201" customFormat="1" ht="11.25" customHeight="1">
      <c r="A212" s="564"/>
      <c r="B212" s="68"/>
      <c r="C212" s="68"/>
      <c r="L212" s="63"/>
      <c r="M212" s="68"/>
      <c r="N212" s="68"/>
      <c r="O212" s="63"/>
      <c r="P212" s="63"/>
      <c r="Q212" s="63"/>
      <c r="R212" s="63"/>
      <c r="S212" s="68"/>
      <c r="T212" s="63"/>
      <c r="U212" s="63"/>
      <c r="V212" s="307"/>
      <c r="W212" s="63"/>
      <c r="X212" s="63"/>
      <c r="Y212" s="63"/>
      <c r="Z212" s="63"/>
      <c r="AA212" s="63"/>
      <c r="AB212" s="9"/>
      <c r="AC212" s="140"/>
      <c r="AD212" s="140"/>
      <c r="AE212" s="140"/>
      <c r="AF212" s="140"/>
    </row>
    <row r="213" spans="1:32" s="201" customFormat="1" ht="11.25" customHeight="1">
      <c r="A213" s="564"/>
      <c r="B213" s="68"/>
      <c r="C213" s="68"/>
      <c r="L213" s="63"/>
      <c r="M213" s="68"/>
      <c r="N213" s="68"/>
      <c r="O213" s="63"/>
      <c r="P213" s="63"/>
      <c r="Q213" s="63"/>
      <c r="R213" s="63"/>
      <c r="S213" s="68"/>
      <c r="T213" s="63"/>
      <c r="U213" s="63"/>
      <c r="V213" s="307"/>
      <c r="W213" s="63"/>
      <c r="X213" s="63"/>
      <c r="Y213" s="63"/>
      <c r="Z213" s="63"/>
      <c r="AA213" s="63"/>
      <c r="AB213" s="9"/>
      <c r="AC213" s="140"/>
      <c r="AD213" s="140"/>
      <c r="AE213" s="140"/>
      <c r="AF213" s="140"/>
    </row>
    <row r="214" spans="1:32" s="201" customFormat="1" ht="11.25" customHeight="1">
      <c r="A214" s="564"/>
      <c r="B214" s="68"/>
      <c r="C214" s="68"/>
      <c r="L214" s="63"/>
      <c r="M214" s="68"/>
      <c r="N214" s="68"/>
      <c r="O214" s="63"/>
      <c r="P214" s="63"/>
      <c r="Q214" s="63"/>
      <c r="R214" s="63"/>
      <c r="S214" s="68"/>
      <c r="T214" s="63"/>
      <c r="U214" s="63"/>
      <c r="V214" s="307"/>
      <c r="W214" s="63"/>
      <c r="X214" s="63"/>
      <c r="Y214" s="63"/>
      <c r="Z214" s="63"/>
      <c r="AA214" s="63"/>
      <c r="AB214" s="9"/>
      <c r="AC214" s="140"/>
      <c r="AD214" s="140"/>
      <c r="AE214" s="140"/>
      <c r="AF214" s="140"/>
    </row>
    <row r="215" spans="1:32" s="201" customFormat="1" ht="11.25" customHeight="1">
      <c r="A215" s="564"/>
      <c r="B215" s="68"/>
      <c r="C215" s="68"/>
      <c r="L215" s="63"/>
      <c r="M215" s="68"/>
      <c r="N215" s="68"/>
      <c r="O215" s="63"/>
      <c r="P215" s="63"/>
      <c r="Q215" s="63"/>
      <c r="R215" s="63"/>
      <c r="S215" s="68"/>
      <c r="T215" s="63"/>
      <c r="U215" s="63"/>
      <c r="V215" s="307"/>
      <c r="W215" s="63"/>
      <c r="X215" s="63"/>
      <c r="Y215" s="63"/>
      <c r="Z215" s="63"/>
      <c r="AA215" s="63"/>
      <c r="AB215" s="9"/>
      <c r="AC215" s="140"/>
      <c r="AD215" s="140"/>
      <c r="AE215" s="140"/>
      <c r="AF215" s="140"/>
    </row>
    <row r="216" spans="1:32" s="201" customFormat="1" ht="11.25" customHeight="1">
      <c r="A216" s="564"/>
      <c r="B216" s="68"/>
      <c r="C216" s="68"/>
      <c r="L216" s="63"/>
      <c r="M216" s="68"/>
      <c r="N216" s="68"/>
      <c r="O216" s="63"/>
      <c r="P216" s="63"/>
      <c r="Q216" s="63"/>
      <c r="R216" s="63"/>
      <c r="S216" s="68"/>
      <c r="T216" s="63"/>
      <c r="U216" s="63"/>
      <c r="V216" s="307"/>
      <c r="W216" s="63"/>
      <c r="X216" s="63"/>
      <c r="Y216" s="63"/>
      <c r="Z216" s="63"/>
      <c r="AA216" s="63"/>
      <c r="AB216" s="9"/>
      <c r="AC216" s="140"/>
      <c r="AD216" s="140"/>
      <c r="AE216" s="140"/>
      <c r="AF216" s="140"/>
    </row>
    <row r="217" spans="1:32" s="201" customFormat="1" ht="11.25" customHeight="1">
      <c r="A217" s="564"/>
      <c r="B217" s="68"/>
      <c r="C217" s="68"/>
      <c r="L217" s="63"/>
      <c r="M217" s="68"/>
      <c r="N217" s="68"/>
      <c r="O217" s="63"/>
      <c r="P217" s="63"/>
      <c r="Q217" s="63"/>
      <c r="R217" s="63"/>
      <c r="S217" s="68"/>
      <c r="T217" s="63"/>
      <c r="U217" s="63"/>
      <c r="V217" s="307"/>
      <c r="W217" s="63"/>
      <c r="X217" s="63"/>
      <c r="Y217" s="63"/>
      <c r="Z217" s="63"/>
      <c r="AA217" s="63"/>
      <c r="AB217" s="9"/>
      <c r="AC217" s="140"/>
      <c r="AD217" s="140"/>
      <c r="AE217" s="140"/>
      <c r="AF217" s="140"/>
    </row>
    <row r="218" spans="1:32" s="201" customFormat="1" ht="11.25" customHeight="1">
      <c r="A218" s="564"/>
      <c r="B218" s="68"/>
      <c r="C218" s="68"/>
      <c r="L218" s="63"/>
      <c r="M218" s="68"/>
      <c r="N218" s="68"/>
      <c r="O218" s="63"/>
      <c r="P218" s="63"/>
      <c r="Q218" s="63"/>
      <c r="R218" s="63"/>
      <c r="S218" s="68"/>
      <c r="T218" s="63"/>
      <c r="U218" s="63"/>
      <c r="V218" s="307"/>
      <c r="W218" s="63"/>
      <c r="X218" s="63"/>
      <c r="Y218" s="63"/>
      <c r="Z218" s="63"/>
      <c r="AA218" s="63"/>
      <c r="AB218" s="9"/>
      <c r="AC218" s="140"/>
      <c r="AD218" s="140"/>
      <c r="AE218" s="140"/>
      <c r="AF218" s="140"/>
    </row>
    <row r="219" spans="1:32" s="201" customFormat="1" ht="11.25" customHeight="1">
      <c r="A219" s="564"/>
      <c r="B219" s="68"/>
      <c r="C219" s="68"/>
      <c r="L219" s="63"/>
      <c r="M219" s="68"/>
      <c r="N219" s="68"/>
      <c r="O219" s="63"/>
      <c r="P219" s="63"/>
      <c r="Q219" s="63"/>
      <c r="R219" s="63"/>
      <c r="S219" s="68"/>
      <c r="T219" s="63"/>
      <c r="U219" s="63"/>
      <c r="V219" s="307"/>
      <c r="W219" s="63"/>
      <c r="X219" s="63"/>
      <c r="Y219" s="63"/>
      <c r="Z219" s="63"/>
      <c r="AA219" s="63"/>
      <c r="AB219" s="9"/>
      <c r="AC219" s="140"/>
      <c r="AD219" s="140"/>
      <c r="AE219" s="140"/>
      <c r="AF219" s="140"/>
    </row>
    <row r="220" spans="1:32" s="201" customFormat="1" ht="11.25" customHeight="1">
      <c r="A220" s="564"/>
      <c r="B220" s="68"/>
      <c r="C220" s="68"/>
      <c r="L220" s="63"/>
      <c r="M220" s="68"/>
      <c r="N220" s="68"/>
      <c r="O220" s="63"/>
      <c r="P220" s="63"/>
      <c r="Q220" s="63"/>
      <c r="R220" s="63"/>
      <c r="S220" s="68"/>
      <c r="T220" s="63"/>
      <c r="U220" s="63"/>
      <c r="V220" s="307"/>
      <c r="W220" s="63"/>
      <c r="X220" s="63"/>
      <c r="Y220" s="63"/>
      <c r="Z220" s="63"/>
      <c r="AA220" s="63"/>
      <c r="AB220" s="9"/>
      <c r="AC220" s="140"/>
      <c r="AD220" s="140"/>
      <c r="AE220" s="140"/>
      <c r="AF220" s="140"/>
    </row>
    <row r="221" spans="1:32" s="201" customFormat="1" ht="11.25" customHeight="1">
      <c r="A221" s="564"/>
      <c r="B221" s="68"/>
      <c r="C221" s="68"/>
      <c r="L221" s="63"/>
      <c r="M221" s="68"/>
      <c r="N221" s="68"/>
      <c r="O221" s="63"/>
      <c r="P221" s="63"/>
      <c r="Q221" s="63"/>
      <c r="R221" s="63"/>
      <c r="S221" s="68"/>
      <c r="T221" s="63"/>
      <c r="U221" s="63"/>
      <c r="V221" s="307"/>
      <c r="W221" s="63"/>
      <c r="X221" s="63"/>
      <c r="Y221" s="63"/>
      <c r="Z221" s="63"/>
      <c r="AA221" s="63"/>
      <c r="AB221" s="9"/>
      <c r="AC221" s="140"/>
      <c r="AD221" s="140"/>
      <c r="AE221" s="140"/>
      <c r="AF221" s="140"/>
    </row>
    <row r="222" spans="1:32" s="201" customFormat="1" ht="11.25" customHeight="1">
      <c r="A222" s="564"/>
      <c r="B222" s="68"/>
      <c r="C222" s="68"/>
      <c r="L222" s="63"/>
      <c r="M222" s="68"/>
      <c r="N222" s="68"/>
      <c r="O222" s="63"/>
      <c r="P222" s="63"/>
      <c r="Q222" s="63"/>
      <c r="R222" s="63"/>
      <c r="S222" s="68"/>
      <c r="T222" s="63"/>
      <c r="U222" s="63"/>
      <c r="V222" s="307"/>
      <c r="W222" s="63"/>
      <c r="X222" s="63"/>
      <c r="Y222" s="63"/>
      <c r="Z222" s="63"/>
      <c r="AA222" s="63"/>
      <c r="AB222" s="9"/>
      <c r="AC222" s="140"/>
      <c r="AD222" s="140"/>
      <c r="AE222" s="140"/>
      <c r="AF222" s="140"/>
    </row>
    <row r="223" spans="1:32" s="201" customFormat="1" ht="11.25" customHeight="1">
      <c r="A223" s="564"/>
      <c r="B223" s="68"/>
      <c r="C223" s="68"/>
      <c r="L223" s="63"/>
      <c r="M223" s="68"/>
      <c r="N223" s="68"/>
      <c r="O223" s="63"/>
      <c r="P223" s="63"/>
      <c r="Q223" s="63"/>
      <c r="R223" s="63"/>
      <c r="S223" s="68"/>
      <c r="T223" s="63"/>
      <c r="U223" s="63"/>
      <c r="V223" s="307"/>
      <c r="W223" s="63"/>
      <c r="X223" s="63"/>
      <c r="Y223" s="63"/>
      <c r="Z223" s="63"/>
      <c r="AA223" s="63"/>
      <c r="AB223" s="9"/>
      <c r="AC223" s="140"/>
      <c r="AD223" s="140"/>
      <c r="AE223" s="140"/>
      <c r="AF223" s="140"/>
    </row>
    <row r="224" spans="1:32" s="201" customFormat="1" ht="11.25" customHeight="1">
      <c r="A224" s="564"/>
      <c r="B224" s="68"/>
      <c r="C224" s="68"/>
      <c r="L224" s="63"/>
      <c r="M224" s="68"/>
      <c r="N224" s="68"/>
      <c r="O224" s="63"/>
      <c r="P224" s="63"/>
      <c r="Q224" s="63"/>
      <c r="R224" s="63"/>
      <c r="S224" s="68"/>
      <c r="T224" s="63"/>
      <c r="U224" s="63"/>
      <c r="V224" s="307"/>
      <c r="W224" s="63"/>
      <c r="X224" s="63"/>
      <c r="Y224" s="63"/>
      <c r="Z224" s="63"/>
      <c r="AA224" s="63"/>
      <c r="AB224" s="9"/>
      <c r="AC224" s="140"/>
      <c r="AD224" s="140"/>
      <c r="AE224" s="140"/>
      <c r="AF224" s="140"/>
    </row>
    <row r="225" spans="1:32" s="201" customFormat="1" ht="11.25" customHeight="1">
      <c r="A225" s="564"/>
      <c r="B225" s="68"/>
      <c r="C225" s="68"/>
      <c r="L225" s="63"/>
      <c r="M225" s="68"/>
      <c r="N225" s="68"/>
      <c r="O225" s="63"/>
      <c r="P225" s="63"/>
      <c r="Q225" s="63"/>
      <c r="R225" s="63"/>
      <c r="S225" s="68"/>
      <c r="T225" s="63"/>
      <c r="U225" s="63"/>
      <c r="V225" s="307"/>
      <c r="W225" s="63"/>
      <c r="X225" s="63"/>
      <c r="Y225" s="63"/>
      <c r="Z225" s="63"/>
      <c r="AA225" s="63"/>
      <c r="AB225" s="9"/>
      <c r="AC225" s="140"/>
      <c r="AD225" s="140"/>
      <c r="AE225" s="140"/>
      <c r="AF225" s="140"/>
    </row>
    <row r="226" spans="1:32" s="201" customFormat="1" ht="11.25" customHeight="1">
      <c r="A226" s="564"/>
      <c r="B226" s="68"/>
      <c r="C226" s="68"/>
      <c r="L226" s="63"/>
      <c r="M226" s="68"/>
      <c r="N226" s="68"/>
      <c r="O226" s="63"/>
      <c r="P226" s="63"/>
      <c r="Q226" s="63"/>
      <c r="R226" s="63"/>
      <c r="S226" s="68"/>
      <c r="T226" s="63"/>
      <c r="U226" s="63"/>
      <c r="V226" s="307"/>
      <c r="W226" s="63"/>
      <c r="X226" s="63"/>
      <c r="Y226" s="63"/>
      <c r="Z226" s="63"/>
      <c r="AA226" s="63"/>
      <c r="AB226" s="9"/>
      <c r="AC226" s="140"/>
      <c r="AD226" s="140"/>
      <c r="AE226" s="140"/>
      <c r="AF226" s="140"/>
    </row>
    <row r="227" spans="1:32" s="201" customFormat="1" ht="11.25" customHeight="1">
      <c r="A227" s="564"/>
      <c r="B227" s="68"/>
      <c r="C227" s="68"/>
      <c r="L227" s="63"/>
      <c r="M227" s="68"/>
      <c r="N227" s="68"/>
      <c r="O227" s="63"/>
      <c r="P227" s="63"/>
      <c r="Q227" s="63"/>
      <c r="R227" s="63"/>
      <c r="S227" s="68"/>
      <c r="T227" s="63"/>
      <c r="U227" s="63"/>
      <c r="V227" s="307"/>
      <c r="W227" s="63"/>
      <c r="X227" s="63"/>
      <c r="Y227" s="63"/>
      <c r="Z227" s="63"/>
      <c r="AA227" s="63"/>
      <c r="AB227" s="9"/>
      <c r="AC227" s="140"/>
      <c r="AD227" s="140"/>
      <c r="AE227" s="140"/>
      <c r="AF227" s="140"/>
    </row>
    <row r="228" spans="1:32" s="201" customFormat="1" ht="11.25" customHeight="1">
      <c r="A228" s="564"/>
      <c r="B228" s="68"/>
      <c r="C228" s="68"/>
      <c r="L228" s="63"/>
      <c r="M228" s="68"/>
      <c r="N228" s="68"/>
      <c r="O228" s="63"/>
      <c r="P228" s="63"/>
      <c r="Q228" s="63"/>
      <c r="R228" s="63"/>
      <c r="S228" s="68"/>
      <c r="T228" s="63"/>
      <c r="U228" s="63"/>
      <c r="V228" s="307"/>
      <c r="W228" s="63"/>
      <c r="X228" s="63"/>
      <c r="Y228" s="63"/>
      <c r="Z228" s="63"/>
      <c r="AA228" s="63"/>
      <c r="AB228" s="9"/>
      <c r="AC228" s="140"/>
      <c r="AD228" s="140"/>
      <c r="AE228" s="140"/>
      <c r="AF228" s="140"/>
    </row>
    <row r="229" spans="1:32" s="201" customFormat="1" ht="11.25" customHeight="1">
      <c r="A229" s="564"/>
      <c r="B229" s="68"/>
      <c r="C229" s="68"/>
      <c r="L229" s="63"/>
      <c r="M229" s="68"/>
      <c r="N229" s="68"/>
      <c r="O229" s="63"/>
      <c r="P229" s="63"/>
      <c r="Q229" s="63"/>
      <c r="R229" s="63"/>
      <c r="S229" s="68"/>
      <c r="T229" s="63"/>
      <c r="U229" s="63"/>
      <c r="V229" s="307"/>
      <c r="W229" s="63"/>
      <c r="X229" s="63"/>
      <c r="Y229" s="63"/>
      <c r="Z229" s="63"/>
      <c r="AA229" s="63"/>
      <c r="AB229" s="9"/>
      <c r="AC229" s="140"/>
      <c r="AD229" s="140"/>
      <c r="AE229" s="140"/>
      <c r="AF229" s="140"/>
    </row>
    <row r="230" spans="1:32" s="201" customFormat="1" ht="11.25" customHeight="1">
      <c r="A230" s="564"/>
      <c r="B230" s="68"/>
      <c r="C230" s="68"/>
      <c r="L230" s="63"/>
      <c r="M230" s="68"/>
      <c r="N230" s="68"/>
      <c r="O230" s="63"/>
      <c r="P230" s="63"/>
      <c r="Q230" s="63"/>
      <c r="R230" s="63"/>
      <c r="S230" s="68"/>
      <c r="T230" s="63"/>
      <c r="U230" s="63"/>
      <c r="V230" s="307"/>
      <c r="W230" s="63"/>
      <c r="X230" s="63"/>
      <c r="Y230" s="63"/>
      <c r="Z230" s="63"/>
      <c r="AA230" s="63"/>
      <c r="AB230" s="9"/>
      <c r="AC230" s="140"/>
      <c r="AD230" s="140"/>
      <c r="AE230" s="140"/>
      <c r="AF230" s="140"/>
    </row>
    <row r="231" spans="1:32" s="201" customFormat="1" ht="11.25" customHeight="1">
      <c r="A231" s="564"/>
      <c r="B231" s="68"/>
      <c r="C231" s="68"/>
      <c r="L231" s="63"/>
      <c r="M231" s="68"/>
      <c r="N231" s="68"/>
      <c r="O231" s="63"/>
      <c r="P231" s="63"/>
      <c r="Q231" s="63"/>
      <c r="R231" s="63"/>
      <c r="S231" s="68"/>
      <c r="T231" s="63"/>
      <c r="U231" s="63"/>
      <c r="V231" s="307"/>
      <c r="W231" s="63"/>
      <c r="X231" s="63"/>
      <c r="Y231" s="63"/>
      <c r="Z231" s="63"/>
      <c r="AA231" s="63"/>
      <c r="AB231" s="9"/>
      <c r="AC231" s="140"/>
      <c r="AD231" s="140"/>
      <c r="AE231" s="140"/>
      <c r="AF231" s="140"/>
    </row>
    <row r="232" spans="1:32" s="201" customFormat="1" ht="11.25" customHeight="1">
      <c r="A232" s="564"/>
      <c r="B232" s="68"/>
      <c r="C232" s="68"/>
      <c r="L232" s="63"/>
      <c r="M232" s="68"/>
      <c r="N232" s="68"/>
      <c r="O232" s="63"/>
      <c r="P232" s="63"/>
      <c r="Q232" s="63"/>
      <c r="R232" s="63"/>
      <c r="S232" s="68"/>
      <c r="T232" s="63"/>
      <c r="U232" s="63"/>
      <c r="V232" s="307"/>
      <c r="W232" s="63"/>
      <c r="X232" s="63"/>
      <c r="Y232" s="63"/>
      <c r="Z232" s="63"/>
      <c r="AA232" s="63"/>
      <c r="AB232" s="9"/>
      <c r="AC232" s="140"/>
      <c r="AD232" s="140"/>
      <c r="AE232" s="140"/>
      <c r="AF232" s="140"/>
    </row>
    <row r="233" spans="1:32" s="201" customFormat="1" ht="11.25" customHeight="1">
      <c r="A233" s="564"/>
      <c r="B233" s="68"/>
      <c r="C233" s="68"/>
      <c r="L233" s="63"/>
      <c r="M233" s="68"/>
      <c r="N233" s="68"/>
      <c r="O233" s="63"/>
      <c r="P233" s="63"/>
      <c r="Q233" s="63"/>
      <c r="R233" s="63"/>
      <c r="S233" s="68"/>
      <c r="T233" s="63"/>
      <c r="U233" s="63"/>
      <c r="V233" s="307"/>
      <c r="W233" s="63"/>
      <c r="X233" s="63"/>
      <c r="Y233" s="63"/>
      <c r="Z233" s="63"/>
      <c r="AA233" s="63"/>
      <c r="AB233" s="9"/>
      <c r="AC233" s="140"/>
      <c r="AD233" s="140"/>
      <c r="AE233" s="140"/>
      <c r="AF233" s="140"/>
    </row>
    <row r="234" spans="1:32" s="201" customFormat="1" ht="11.25" customHeight="1">
      <c r="A234" s="564"/>
      <c r="B234" s="68"/>
      <c r="C234" s="68"/>
      <c r="L234" s="63"/>
      <c r="M234" s="68"/>
      <c r="N234" s="68"/>
      <c r="O234" s="63"/>
      <c r="P234" s="63"/>
      <c r="Q234" s="63"/>
      <c r="R234" s="63"/>
      <c r="S234" s="68"/>
      <c r="T234" s="63"/>
      <c r="U234" s="63"/>
      <c r="V234" s="307"/>
      <c r="W234" s="63"/>
      <c r="X234" s="63"/>
      <c r="Y234" s="63"/>
      <c r="Z234" s="63"/>
      <c r="AA234" s="63"/>
      <c r="AB234" s="9"/>
      <c r="AC234" s="140"/>
      <c r="AD234" s="140"/>
      <c r="AE234" s="140"/>
      <c r="AF234" s="140"/>
    </row>
    <row r="235" spans="1:32" s="201" customFormat="1" ht="11.25" customHeight="1">
      <c r="A235" s="564"/>
      <c r="B235" s="68"/>
      <c r="C235" s="68"/>
      <c r="L235" s="63"/>
      <c r="M235" s="68"/>
      <c r="N235" s="68"/>
      <c r="O235" s="63"/>
      <c r="P235" s="63"/>
      <c r="Q235" s="63"/>
      <c r="R235" s="63"/>
      <c r="S235" s="68"/>
      <c r="T235" s="63"/>
      <c r="U235" s="63"/>
      <c r="V235" s="307"/>
      <c r="W235" s="63"/>
      <c r="X235" s="63"/>
      <c r="Y235" s="63"/>
      <c r="Z235" s="63"/>
      <c r="AA235" s="63"/>
      <c r="AB235" s="9"/>
      <c r="AC235" s="140"/>
      <c r="AD235" s="140"/>
      <c r="AE235" s="140"/>
      <c r="AF235" s="140"/>
    </row>
    <row r="236" spans="1:32" s="201" customFormat="1" ht="11.25" customHeight="1">
      <c r="A236" s="564"/>
      <c r="B236" s="68"/>
      <c r="C236" s="68"/>
      <c r="L236" s="63"/>
      <c r="M236" s="68"/>
      <c r="N236" s="68"/>
      <c r="O236" s="63"/>
      <c r="P236" s="63"/>
      <c r="Q236" s="63"/>
      <c r="R236" s="63"/>
      <c r="S236" s="68"/>
      <c r="T236" s="63"/>
      <c r="U236" s="63"/>
      <c r="V236" s="307"/>
      <c r="W236" s="63"/>
      <c r="X236" s="63"/>
      <c r="Y236" s="63"/>
      <c r="Z236" s="63"/>
      <c r="AA236" s="63"/>
      <c r="AB236" s="9"/>
      <c r="AC236" s="140"/>
      <c r="AD236" s="140"/>
      <c r="AE236" s="140"/>
      <c r="AF236" s="140"/>
    </row>
    <row r="237" spans="1:32" s="201" customFormat="1" ht="11.25" customHeight="1">
      <c r="A237" s="564"/>
      <c r="B237" s="68"/>
      <c r="C237" s="68"/>
      <c r="L237" s="63"/>
      <c r="M237" s="68"/>
      <c r="N237" s="68"/>
      <c r="O237" s="63"/>
      <c r="P237" s="63"/>
      <c r="Q237" s="63"/>
      <c r="R237" s="63"/>
      <c r="S237" s="68"/>
      <c r="T237" s="63"/>
      <c r="U237" s="63"/>
      <c r="V237" s="307"/>
      <c r="W237" s="63"/>
      <c r="X237" s="63"/>
      <c r="Y237" s="63"/>
      <c r="Z237" s="63"/>
      <c r="AA237" s="63"/>
      <c r="AB237" s="9"/>
      <c r="AC237" s="140"/>
      <c r="AD237" s="140"/>
      <c r="AE237" s="140"/>
      <c r="AF237" s="140"/>
    </row>
    <row r="238" spans="1:32" s="201" customFormat="1" ht="11.25" customHeight="1">
      <c r="A238" s="564"/>
      <c r="B238" s="68"/>
      <c r="C238" s="68"/>
      <c r="L238" s="63"/>
      <c r="M238" s="68"/>
      <c r="N238" s="68"/>
      <c r="O238" s="63"/>
      <c r="P238" s="63"/>
      <c r="Q238" s="63"/>
      <c r="R238" s="63"/>
      <c r="S238" s="68"/>
      <c r="T238" s="63"/>
      <c r="U238" s="63"/>
      <c r="V238" s="307"/>
      <c r="W238" s="63"/>
      <c r="X238" s="63"/>
      <c r="Y238" s="63"/>
      <c r="Z238" s="63"/>
      <c r="AA238" s="63"/>
      <c r="AB238" s="9"/>
      <c r="AC238" s="140"/>
      <c r="AD238" s="140"/>
      <c r="AE238" s="140"/>
      <c r="AF238" s="140"/>
    </row>
    <row r="239" spans="1:32" s="201" customFormat="1" ht="11.25" customHeight="1">
      <c r="A239" s="564"/>
      <c r="B239" s="68"/>
      <c r="C239" s="68"/>
      <c r="L239" s="63"/>
      <c r="M239" s="68"/>
      <c r="N239" s="68"/>
      <c r="O239" s="63"/>
      <c r="P239" s="63"/>
      <c r="Q239" s="63"/>
      <c r="R239" s="63"/>
      <c r="S239" s="68"/>
      <c r="T239" s="63"/>
      <c r="U239" s="63"/>
      <c r="V239" s="307"/>
      <c r="W239" s="63"/>
      <c r="X239" s="63"/>
      <c r="Y239" s="63"/>
      <c r="Z239" s="63"/>
      <c r="AA239" s="63"/>
      <c r="AB239" s="9"/>
      <c r="AC239" s="140"/>
      <c r="AD239" s="140"/>
      <c r="AE239" s="140"/>
      <c r="AF239" s="140"/>
    </row>
    <row r="240" spans="1:32" s="201" customFormat="1" ht="11.25" customHeight="1">
      <c r="A240" s="564"/>
      <c r="B240" s="68"/>
      <c r="C240" s="68"/>
      <c r="L240" s="63"/>
      <c r="M240" s="68"/>
      <c r="N240" s="68"/>
      <c r="O240" s="63"/>
      <c r="P240" s="63"/>
      <c r="Q240" s="63"/>
      <c r="R240" s="63"/>
      <c r="S240" s="68"/>
      <c r="T240" s="63"/>
      <c r="U240" s="63"/>
      <c r="V240" s="307"/>
      <c r="W240" s="63"/>
      <c r="X240" s="63"/>
      <c r="Y240" s="63"/>
      <c r="Z240" s="63"/>
      <c r="AA240" s="63"/>
      <c r="AB240" s="9"/>
      <c r="AC240" s="140"/>
      <c r="AD240" s="140"/>
      <c r="AE240" s="140"/>
      <c r="AF240" s="140"/>
    </row>
    <row r="241" spans="1:32" s="201" customFormat="1" ht="11.25" customHeight="1">
      <c r="A241" s="564"/>
      <c r="B241" s="68"/>
      <c r="C241" s="68"/>
      <c r="L241" s="63"/>
      <c r="M241" s="68"/>
      <c r="N241" s="68"/>
      <c r="O241" s="63"/>
      <c r="P241" s="63"/>
      <c r="Q241" s="63"/>
      <c r="R241" s="63"/>
      <c r="S241" s="68"/>
      <c r="T241" s="63"/>
      <c r="U241" s="63"/>
      <c r="V241" s="307"/>
      <c r="W241" s="63"/>
      <c r="X241" s="63"/>
      <c r="Y241" s="63"/>
      <c r="Z241" s="63"/>
      <c r="AA241" s="63"/>
      <c r="AB241" s="9"/>
      <c r="AC241" s="140"/>
      <c r="AD241" s="140"/>
      <c r="AE241" s="140"/>
      <c r="AF241" s="140"/>
    </row>
    <row r="242" spans="1:32" s="201" customFormat="1" ht="11.25" customHeight="1">
      <c r="A242" s="564"/>
      <c r="B242" s="68"/>
      <c r="C242" s="68"/>
      <c r="L242" s="63"/>
      <c r="M242" s="68"/>
      <c r="N242" s="68"/>
      <c r="O242" s="63"/>
      <c r="P242" s="63"/>
      <c r="Q242" s="63"/>
      <c r="R242" s="63"/>
      <c r="S242" s="68"/>
      <c r="T242" s="63"/>
      <c r="U242" s="63"/>
      <c r="V242" s="307"/>
      <c r="W242" s="63"/>
      <c r="X242" s="63"/>
      <c r="Y242" s="63"/>
      <c r="Z242" s="63"/>
      <c r="AA242" s="63"/>
      <c r="AB242" s="9"/>
      <c r="AC242" s="140"/>
      <c r="AD242" s="140"/>
      <c r="AE242" s="140"/>
      <c r="AF242" s="140"/>
    </row>
    <row r="243" spans="1:32" s="201" customFormat="1" ht="11.25" customHeight="1">
      <c r="A243" s="564"/>
      <c r="B243" s="68"/>
      <c r="C243" s="68"/>
      <c r="L243" s="63"/>
      <c r="M243" s="68"/>
      <c r="N243" s="68"/>
      <c r="O243" s="63"/>
      <c r="P243" s="63"/>
      <c r="Q243" s="63"/>
      <c r="R243" s="63"/>
      <c r="S243" s="68"/>
      <c r="T243" s="63"/>
      <c r="U243" s="63"/>
      <c r="V243" s="307"/>
      <c r="W243" s="63"/>
      <c r="X243" s="63"/>
      <c r="Y243" s="63"/>
      <c r="Z243" s="63"/>
      <c r="AA243" s="63"/>
      <c r="AB243" s="9"/>
      <c r="AC243" s="140"/>
      <c r="AD243" s="140"/>
      <c r="AE243" s="140"/>
      <c r="AF243" s="140"/>
    </row>
    <row r="244" spans="1:32" s="201" customFormat="1" ht="11.25" customHeight="1">
      <c r="A244" s="564"/>
      <c r="B244" s="68"/>
      <c r="C244" s="68"/>
      <c r="L244" s="63"/>
      <c r="M244" s="68"/>
      <c r="N244" s="68"/>
      <c r="O244" s="63"/>
      <c r="P244" s="63"/>
      <c r="Q244" s="63"/>
      <c r="R244" s="63"/>
      <c r="S244" s="68"/>
      <c r="T244" s="63"/>
      <c r="U244" s="63"/>
      <c r="V244" s="307"/>
      <c r="W244" s="63"/>
      <c r="X244" s="63"/>
      <c r="Y244" s="63"/>
      <c r="Z244" s="63"/>
      <c r="AA244" s="63"/>
      <c r="AB244" s="9"/>
      <c r="AC244" s="140"/>
      <c r="AD244" s="140"/>
      <c r="AE244" s="140"/>
      <c r="AF244" s="140"/>
    </row>
    <row r="245" spans="1:32" s="201" customFormat="1" ht="11.25" customHeight="1">
      <c r="A245" s="564"/>
      <c r="B245" s="68"/>
      <c r="C245" s="68"/>
      <c r="L245" s="63"/>
      <c r="M245" s="68"/>
      <c r="N245" s="68"/>
      <c r="O245" s="63"/>
      <c r="P245" s="63"/>
      <c r="Q245" s="63"/>
      <c r="R245" s="63"/>
      <c r="S245" s="68"/>
      <c r="T245" s="63"/>
      <c r="U245" s="63"/>
      <c r="V245" s="307"/>
      <c r="W245" s="63"/>
      <c r="X245" s="63"/>
      <c r="Y245" s="63"/>
      <c r="Z245" s="63"/>
      <c r="AA245" s="63"/>
      <c r="AB245" s="9"/>
      <c r="AC245" s="140"/>
      <c r="AD245" s="140"/>
      <c r="AE245" s="140"/>
      <c r="AF245" s="140"/>
    </row>
    <row r="246" spans="1:32" s="201" customFormat="1" ht="11.25" customHeight="1">
      <c r="A246" s="564"/>
      <c r="B246" s="68"/>
      <c r="C246" s="68"/>
      <c r="L246" s="63"/>
      <c r="M246" s="68"/>
      <c r="N246" s="68"/>
      <c r="O246" s="63"/>
      <c r="P246" s="63"/>
      <c r="Q246" s="63"/>
      <c r="R246" s="63"/>
      <c r="S246" s="68"/>
      <c r="T246" s="63"/>
      <c r="U246" s="63"/>
      <c r="V246" s="307"/>
      <c r="W246" s="63"/>
      <c r="X246" s="63"/>
      <c r="Y246" s="63"/>
      <c r="Z246" s="63"/>
      <c r="AA246" s="63"/>
      <c r="AB246" s="9"/>
      <c r="AC246" s="140"/>
      <c r="AD246" s="140"/>
      <c r="AE246" s="140"/>
      <c r="AF246" s="140"/>
    </row>
    <row r="247" spans="1:32" s="201" customFormat="1" ht="11.25" customHeight="1">
      <c r="A247" s="564"/>
      <c r="B247" s="68"/>
      <c r="C247" s="68"/>
      <c r="L247" s="63"/>
      <c r="M247" s="68"/>
      <c r="N247" s="68"/>
      <c r="O247" s="63"/>
      <c r="P247" s="63"/>
      <c r="Q247" s="63"/>
      <c r="R247" s="63"/>
      <c r="S247" s="68"/>
      <c r="T247" s="63"/>
      <c r="U247" s="63"/>
      <c r="V247" s="307"/>
      <c r="W247" s="63"/>
      <c r="X247" s="63"/>
      <c r="Y247" s="63"/>
      <c r="Z247" s="63"/>
      <c r="AA247" s="63"/>
      <c r="AB247" s="9"/>
      <c r="AC247" s="140"/>
      <c r="AD247" s="140"/>
      <c r="AE247" s="140"/>
      <c r="AF247" s="140"/>
    </row>
    <row r="248" spans="1:32" s="201" customFormat="1" ht="11.25" customHeight="1">
      <c r="A248" s="564"/>
      <c r="B248" s="68"/>
      <c r="C248" s="68"/>
      <c r="L248" s="63"/>
      <c r="M248" s="68"/>
      <c r="N248" s="68"/>
      <c r="O248" s="63"/>
      <c r="P248" s="63"/>
      <c r="Q248" s="63"/>
      <c r="R248" s="63"/>
      <c r="S248" s="68"/>
      <c r="T248" s="63"/>
      <c r="U248" s="63"/>
      <c r="V248" s="307"/>
      <c r="W248" s="63"/>
      <c r="X248" s="63"/>
      <c r="Y248" s="63"/>
      <c r="Z248" s="63"/>
      <c r="AA248" s="63"/>
      <c r="AB248" s="9"/>
      <c r="AC248" s="140"/>
      <c r="AD248" s="140"/>
      <c r="AE248" s="140"/>
      <c r="AF248" s="140"/>
    </row>
    <row r="249" spans="1:32" s="201" customFormat="1" ht="11.25" customHeight="1">
      <c r="A249" s="564"/>
      <c r="B249" s="68"/>
      <c r="C249" s="68"/>
      <c r="L249" s="63"/>
      <c r="M249" s="68"/>
      <c r="N249" s="68"/>
      <c r="O249" s="63"/>
      <c r="P249" s="63"/>
      <c r="Q249" s="63"/>
      <c r="R249" s="63"/>
      <c r="S249" s="68"/>
      <c r="T249" s="63"/>
      <c r="U249" s="63"/>
      <c r="V249" s="307"/>
      <c r="W249" s="63"/>
      <c r="X249" s="63"/>
      <c r="Y249" s="63"/>
      <c r="Z249" s="63"/>
      <c r="AA249" s="63"/>
      <c r="AB249" s="9"/>
      <c r="AC249" s="140"/>
      <c r="AD249" s="140"/>
      <c r="AE249" s="140"/>
      <c r="AF249" s="140"/>
    </row>
    <row r="250" spans="1:32" s="201" customFormat="1" ht="11.25" customHeight="1">
      <c r="A250" s="564"/>
      <c r="B250" s="68"/>
      <c r="C250" s="68"/>
      <c r="L250" s="63"/>
      <c r="M250" s="68"/>
      <c r="N250" s="68"/>
      <c r="O250" s="63"/>
      <c r="P250" s="63"/>
      <c r="Q250" s="63"/>
      <c r="R250" s="63"/>
      <c r="S250" s="68"/>
      <c r="T250" s="63"/>
      <c r="U250" s="63"/>
      <c r="V250" s="307"/>
      <c r="W250" s="63"/>
      <c r="X250" s="63"/>
      <c r="Y250" s="63"/>
      <c r="Z250" s="63"/>
      <c r="AA250" s="63"/>
      <c r="AB250" s="9"/>
      <c r="AC250" s="140"/>
      <c r="AD250" s="140"/>
      <c r="AE250" s="140"/>
      <c r="AF250" s="140"/>
    </row>
    <row r="251" spans="1:32" s="201" customFormat="1" ht="11.25" customHeight="1">
      <c r="A251" s="564"/>
      <c r="B251" s="68"/>
      <c r="C251" s="68"/>
      <c r="L251" s="63"/>
      <c r="M251" s="68"/>
      <c r="N251" s="68"/>
      <c r="O251" s="63"/>
      <c r="P251" s="63"/>
      <c r="Q251" s="63"/>
      <c r="R251" s="63"/>
      <c r="S251" s="68"/>
      <c r="T251" s="63"/>
      <c r="U251" s="63"/>
      <c r="V251" s="307"/>
      <c r="W251" s="63"/>
      <c r="X251" s="63"/>
      <c r="Y251" s="63"/>
      <c r="Z251" s="63"/>
      <c r="AA251" s="63"/>
      <c r="AB251" s="9"/>
      <c r="AC251" s="140"/>
      <c r="AD251" s="140"/>
      <c r="AE251" s="140"/>
      <c r="AF251" s="140"/>
    </row>
    <row r="252" spans="1:32" s="201" customFormat="1" ht="11.25" customHeight="1">
      <c r="A252" s="564"/>
      <c r="B252" s="68"/>
      <c r="C252" s="68"/>
      <c r="L252" s="63"/>
      <c r="M252" s="68"/>
      <c r="N252" s="68"/>
      <c r="O252" s="63"/>
      <c r="P252" s="63"/>
      <c r="Q252" s="63"/>
      <c r="R252" s="63"/>
      <c r="S252" s="68"/>
      <c r="T252" s="63"/>
      <c r="U252" s="63"/>
      <c r="V252" s="307"/>
      <c r="W252" s="63"/>
      <c r="X252" s="63"/>
      <c r="Y252" s="63"/>
      <c r="Z252" s="63"/>
      <c r="AA252" s="63"/>
      <c r="AB252" s="9"/>
      <c r="AC252" s="140"/>
      <c r="AD252" s="140"/>
      <c r="AE252" s="140"/>
      <c r="AF252" s="140"/>
    </row>
    <row r="253" spans="1:32" s="201" customFormat="1" ht="11.25" customHeight="1">
      <c r="A253" s="564"/>
      <c r="B253" s="68"/>
      <c r="C253" s="68"/>
      <c r="L253" s="63"/>
      <c r="M253" s="68"/>
      <c r="N253" s="68"/>
      <c r="O253" s="63"/>
      <c r="P253" s="63"/>
      <c r="Q253" s="63"/>
      <c r="R253" s="63"/>
      <c r="S253" s="68"/>
      <c r="T253" s="63"/>
      <c r="U253" s="63"/>
      <c r="V253" s="307"/>
      <c r="W253" s="63"/>
      <c r="X253" s="63"/>
      <c r="Y253" s="63"/>
      <c r="Z253" s="63"/>
      <c r="AA253" s="63"/>
      <c r="AB253" s="9"/>
      <c r="AC253" s="140"/>
      <c r="AD253" s="140"/>
      <c r="AE253" s="140"/>
      <c r="AF253" s="140"/>
    </row>
    <row r="254" spans="1:32" s="201" customFormat="1" ht="11.25" customHeight="1">
      <c r="A254" s="564"/>
      <c r="B254" s="68"/>
      <c r="C254" s="68"/>
      <c r="L254" s="63"/>
      <c r="M254" s="68"/>
      <c r="N254" s="68"/>
      <c r="O254" s="63"/>
      <c r="P254" s="63"/>
      <c r="Q254" s="63"/>
      <c r="R254" s="63"/>
      <c r="S254" s="68"/>
      <c r="T254" s="63"/>
      <c r="U254" s="63"/>
      <c r="V254" s="307"/>
      <c r="W254" s="63"/>
      <c r="X254" s="63"/>
      <c r="Y254" s="63"/>
      <c r="Z254" s="63"/>
      <c r="AA254" s="63"/>
      <c r="AB254" s="9"/>
      <c r="AC254" s="140"/>
      <c r="AD254" s="140"/>
      <c r="AE254" s="140"/>
      <c r="AF254" s="140"/>
    </row>
    <row r="255" spans="1:32" s="201" customFormat="1" ht="11.25" customHeight="1">
      <c r="A255" s="564"/>
      <c r="B255" s="68"/>
      <c r="C255" s="68"/>
      <c r="L255" s="63"/>
      <c r="M255" s="68"/>
      <c r="N255" s="68"/>
      <c r="O255" s="63"/>
      <c r="P255" s="63"/>
      <c r="Q255" s="63"/>
      <c r="R255" s="63"/>
      <c r="S255" s="68"/>
      <c r="T255" s="63"/>
      <c r="U255" s="63"/>
      <c r="V255" s="307"/>
      <c r="W255" s="63"/>
      <c r="X255" s="63"/>
      <c r="Y255" s="63"/>
      <c r="Z255" s="63"/>
      <c r="AA255" s="63"/>
      <c r="AB255" s="9"/>
      <c r="AC255" s="140"/>
      <c r="AD255" s="140"/>
      <c r="AE255" s="140"/>
      <c r="AF255" s="140"/>
    </row>
    <row r="256" spans="1:32" s="201" customFormat="1" ht="11.25" customHeight="1">
      <c r="A256" s="564"/>
      <c r="B256" s="68"/>
      <c r="C256" s="68"/>
      <c r="L256" s="63"/>
      <c r="M256" s="68"/>
      <c r="N256" s="68"/>
      <c r="O256" s="63"/>
      <c r="P256" s="63"/>
      <c r="Q256" s="63"/>
      <c r="R256" s="63"/>
      <c r="S256" s="68"/>
      <c r="T256" s="63"/>
      <c r="U256" s="63"/>
      <c r="V256" s="307"/>
      <c r="W256" s="63"/>
      <c r="X256" s="63"/>
      <c r="Y256" s="63"/>
      <c r="Z256" s="63"/>
      <c r="AA256" s="63"/>
      <c r="AB256" s="9"/>
      <c r="AC256" s="140"/>
      <c r="AD256" s="140"/>
      <c r="AE256" s="140"/>
      <c r="AF256" s="140"/>
    </row>
    <row r="257" spans="1:32" s="201" customFormat="1" ht="11.25" customHeight="1">
      <c r="A257" s="564"/>
      <c r="B257" s="68"/>
      <c r="C257" s="68"/>
      <c r="L257" s="63"/>
      <c r="M257" s="68"/>
      <c r="N257" s="68"/>
      <c r="O257" s="63"/>
      <c r="P257" s="63"/>
      <c r="Q257" s="63"/>
      <c r="R257" s="63"/>
      <c r="S257" s="68"/>
      <c r="T257" s="63"/>
      <c r="U257" s="63"/>
      <c r="V257" s="307"/>
      <c r="W257" s="63"/>
      <c r="X257" s="63"/>
      <c r="Y257" s="63"/>
      <c r="Z257" s="63"/>
      <c r="AA257" s="63"/>
      <c r="AB257" s="9"/>
      <c r="AC257" s="140"/>
      <c r="AD257" s="140"/>
      <c r="AE257" s="140"/>
      <c r="AF257" s="140"/>
    </row>
    <row r="258" spans="1:32" s="201" customFormat="1" ht="11.25" customHeight="1">
      <c r="A258" s="564"/>
      <c r="B258" s="68"/>
      <c r="C258" s="68"/>
      <c r="L258" s="63"/>
      <c r="M258" s="68"/>
      <c r="N258" s="68"/>
      <c r="O258" s="63"/>
      <c r="P258" s="63"/>
      <c r="Q258" s="63"/>
      <c r="R258" s="63"/>
      <c r="S258" s="68"/>
      <c r="T258" s="63"/>
      <c r="U258" s="63"/>
      <c r="V258" s="307"/>
      <c r="W258" s="63"/>
      <c r="X258" s="63"/>
      <c r="Y258" s="63"/>
      <c r="Z258" s="63"/>
      <c r="AA258" s="63"/>
      <c r="AB258" s="9"/>
      <c r="AC258" s="140"/>
      <c r="AD258" s="140"/>
      <c r="AE258" s="140"/>
      <c r="AF258" s="140"/>
    </row>
    <row r="259" spans="1:32" s="201" customFormat="1" ht="11.25" customHeight="1">
      <c r="A259" s="564"/>
      <c r="B259" s="68"/>
      <c r="C259" s="68"/>
      <c r="L259" s="63"/>
      <c r="M259" s="68"/>
      <c r="N259" s="68"/>
      <c r="O259" s="63"/>
      <c r="P259" s="63"/>
      <c r="Q259" s="63"/>
      <c r="R259" s="63"/>
      <c r="S259" s="68"/>
      <c r="T259" s="63"/>
      <c r="U259" s="63"/>
      <c r="V259" s="307"/>
      <c r="W259" s="63"/>
      <c r="X259" s="63"/>
      <c r="Y259" s="63"/>
      <c r="Z259" s="63"/>
      <c r="AA259" s="63"/>
      <c r="AB259" s="9"/>
      <c r="AC259" s="140"/>
      <c r="AD259" s="140"/>
      <c r="AE259" s="140"/>
      <c r="AF259" s="140"/>
    </row>
    <row r="260" spans="1:32" s="201" customFormat="1" ht="11.25" customHeight="1">
      <c r="A260" s="564"/>
      <c r="B260" s="68"/>
      <c r="C260" s="68"/>
      <c r="L260" s="63"/>
      <c r="M260" s="68"/>
      <c r="N260" s="68"/>
      <c r="O260" s="63"/>
      <c r="P260" s="63"/>
      <c r="Q260" s="63"/>
      <c r="R260" s="63"/>
      <c r="S260" s="68"/>
      <c r="T260" s="63"/>
      <c r="U260" s="63"/>
      <c r="V260" s="307"/>
      <c r="W260" s="63"/>
      <c r="X260" s="63"/>
      <c r="Y260" s="63"/>
      <c r="Z260" s="63"/>
      <c r="AA260" s="63"/>
      <c r="AB260" s="9"/>
      <c r="AC260" s="140"/>
      <c r="AD260" s="140"/>
      <c r="AE260" s="140"/>
      <c r="AF260" s="140"/>
    </row>
    <row r="261" spans="1:32" s="201" customFormat="1" ht="11.25" customHeight="1">
      <c r="A261" s="564"/>
      <c r="B261" s="68"/>
      <c r="C261" s="68"/>
      <c r="L261" s="63"/>
      <c r="M261" s="68"/>
      <c r="N261" s="68"/>
      <c r="O261" s="63"/>
      <c r="P261" s="63"/>
      <c r="Q261" s="63"/>
      <c r="R261" s="63"/>
      <c r="S261" s="68"/>
      <c r="T261" s="63"/>
      <c r="U261" s="63"/>
      <c r="V261" s="307"/>
      <c r="W261" s="63"/>
      <c r="X261" s="63"/>
      <c r="Y261" s="63"/>
      <c r="Z261" s="63"/>
      <c r="AA261" s="63"/>
      <c r="AB261" s="9"/>
      <c r="AC261" s="140"/>
      <c r="AD261" s="140"/>
      <c r="AE261" s="140"/>
      <c r="AF261" s="140"/>
    </row>
    <row r="262" spans="1:32" s="201" customFormat="1" ht="11.25" customHeight="1">
      <c r="A262" s="564"/>
      <c r="B262" s="68"/>
      <c r="C262" s="68"/>
      <c r="L262" s="63"/>
      <c r="M262" s="68"/>
      <c r="N262" s="68"/>
      <c r="O262" s="63"/>
      <c r="P262" s="63"/>
      <c r="Q262" s="63"/>
      <c r="R262" s="63"/>
      <c r="S262" s="68"/>
      <c r="T262" s="63"/>
      <c r="U262" s="63"/>
      <c r="V262" s="307"/>
      <c r="W262" s="63"/>
      <c r="X262" s="63"/>
      <c r="Y262" s="63"/>
      <c r="Z262" s="63"/>
      <c r="AA262" s="63"/>
      <c r="AB262" s="9"/>
      <c r="AC262" s="140"/>
      <c r="AD262" s="140"/>
      <c r="AE262" s="140"/>
      <c r="AF262" s="140"/>
    </row>
    <row r="263" spans="1:32" s="201" customFormat="1" ht="11.25" customHeight="1">
      <c r="A263" s="564"/>
      <c r="B263" s="68"/>
      <c r="C263" s="68"/>
      <c r="L263" s="63"/>
      <c r="M263" s="68"/>
      <c r="N263" s="68"/>
      <c r="O263" s="63"/>
      <c r="P263" s="63"/>
      <c r="Q263" s="63"/>
      <c r="R263" s="63"/>
      <c r="S263" s="68"/>
      <c r="T263" s="63"/>
      <c r="U263" s="63"/>
      <c r="V263" s="307"/>
      <c r="W263" s="63"/>
      <c r="X263" s="63"/>
      <c r="Y263" s="63"/>
      <c r="Z263" s="63"/>
      <c r="AA263" s="63"/>
      <c r="AB263" s="9"/>
      <c r="AC263" s="140"/>
      <c r="AD263" s="140"/>
      <c r="AE263" s="140"/>
      <c r="AF263" s="140"/>
    </row>
    <row r="264" spans="1:32" s="201" customFormat="1" ht="11.25" customHeight="1">
      <c r="A264" s="564"/>
      <c r="B264" s="68"/>
      <c r="C264" s="68"/>
      <c r="L264" s="63"/>
      <c r="M264" s="68"/>
      <c r="N264" s="68"/>
      <c r="O264" s="63"/>
      <c r="P264" s="63"/>
      <c r="Q264" s="63"/>
      <c r="R264" s="63"/>
      <c r="S264" s="68"/>
      <c r="T264" s="63"/>
      <c r="U264" s="63"/>
      <c r="V264" s="307"/>
      <c r="W264" s="63"/>
      <c r="X264" s="63"/>
      <c r="Y264" s="63"/>
      <c r="Z264" s="63"/>
      <c r="AA264" s="63"/>
      <c r="AB264" s="9"/>
      <c r="AC264" s="140"/>
      <c r="AD264" s="140"/>
      <c r="AE264" s="140"/>
      <c r="AF264" s="140"/>
    </row>
    <row r="265" spans="1:32" s="201" customFormat="1" ht="11.25" customHeight="1">
      <c r="A265" s="564"/>
      <c r="B265" s="68"/>
      <c r="C265" s="68"/>
      <c r="L265" s="63"/>
      <c r="M265" s="68"/>
      <c r="N265" s="68"/>
      <c r="O265" s="63"/>
      <c r="P265" s="63"/>
      <c r="Q265" s="63"/>
      <c r="R265" s="63"/>
      <c r="S265" s="68"/>
      <c r="T265" s="63"/>
      <c r="U265" s="63"/>
      <c r="V265" s="307"/>
      <c r="W265" s="63"/>
      <c r="X265" s="63"/>
      <c r="Y265" s="63"/>
      <c r="Z265" s="63"/>
      <c r="AA265" s="63"/>
      <c r="AB265" s="9"/>
      <c r="AC265" s="140"/>
      <c r="AD265" s="140"/>
      <c r="AE265" s="140"/>
      <c r="AF265" s="140"/>
    </row>
    <row r="266" spans="1:32" s="201" customFormat="1" ht="11.25" customHeight="1">
      <c r="A266" s="564"/>
      <c r="B266" s="68"/>
      <c r="C266" s="68"/>
      <c r="L266" s="63"/>
      <c r="M266" s="68"/>
      <c r="N266" s="68"/>
      <c r="O266" s="63"/>
      <c r="P266" s="63"/>
      <c r="Q266" s="63"/>
      <c r="R266" s="63"/>
      <c r="S266" s="68"/>
      <c r="T266" s="63"/>
      <c r="U266" s="63"/>
      <c r="V266" s="307"/>
      <c r="W266" s="63"/>
      <c r="X266" s="63"/>
      <c r="Y266" s="63"/>
      <c r="Z266" s="63"/>
      <c r="AA266" s="63"/>
      <c r="AB266" s="9"/>
      <c r="AC266" s="140"/>
      <c r="AD266" s="140"/>
      <c r="AE266" s="140"/>
      <c r="AF266" s="140"/>
    </row>
    <row r="267" spans="1:32" s="201" customFormat="1" ht="11.25" customHeight="1">
      <c r="A267" s="564"/>
      <c r="B267" s="68"/>
      <c r="C267" s="68"/>
      <c r="L267" s="63"/>
      <c r="M267" s="68"/>
      <c r="N267" s="68"/>
      <c r="O267" s="63"/>
      <c r="P267" s="63"/>
      <c r="Q267" s="63"/>
      <c r="R267" s="63"/>
      <c r="S267" s="68"/>
      <c r="T267" s="63"/>
      <c r="U267" s="63"/>
      <c r="V267" s="307"/>
      <c r="W267" s="63"/>
      <c r="X267" s="63"/>
      <c r="Y267" s="63"/>
      <c r="Z267" s="63"/>
      <c r="AA267" s="63"/>
      <c r="AB267" s="9"/>
      <c r="AC267" s="140"/>
      <c r="AD267" s="140"/>
      <c r="AE267" s="140"/>
      <c r="AF267" s="140"/>
    </row>
    <row r="268" spans="1:32" s="201" customFormat="1" ht="11.25" customHeight="1">
      <c r="A268" s="564"/>
      <c r="B268" s="68"/>
      <c r="C268" s="68"/>
      <c r="L268" s="63"/>
      <c r="M268" s="68"/>
      <c r="N268" s="68"/>
      <c r="O268" s="63"/>
      <c r="P268" s="63"/>
      <c r="Q268" s="63"/>
      <c r="R268" s="63"/>
      <c r="S268" s="68"/>
      <c r="T268" s="63"/>
      <c r="U268" s="63"/>
      <c r="V268" s="307"/>
      <c r="W268" s="63"/>
      <c r="X268" s="63"/>
      <c r="Y268" s="63"/>
      <c r="Z268" s="63"/>
      <c r="AA268" s="63"/>
      <c r="AB268" s="9"/>
      <c r="AC268" s="140"/>
      <c r="AD268" s="140"/>
      <c r="AE268" s="140"/>
      <c r="AF268" s="140"/>
    </row>
    <row r="269" spans="1:32" s="201" customFormat="1" ht="11.25" customHeight="1">
      <c r="A269" s="564"/>
      <c r="B269" s="68"/>
      <c r="C269" s="68"/>
      <c r="L269" s="63"/>
      <c r="M269" s="68"/>
      <c r="N269" s="68"/>
      <c r="O269" s="63"/>
      <c r="P269" s="63"/>
      <c r="Q269" s="63"/>
      <c r="R269" s="63"/>
      <c r="S269" s="68"/>
      <c r="T269" s="63"/>
      <c r="U269" s="63"/>
      <c r="V269" s="307"/>
      <c r="W269" s="63"/>
      <c r="X269" s="63"/>
      <c r="Y269" s="63"/>
      <c r="Z269" s="63"/>
      <c r="AA269" s="63"/>
      <c r="AB269" s="9"/>
      <c r="AC269" s="140"/>
      <c r="AD269" s="140"/>
      <c r="AE269" s="140"/>
      <c r="AF269" s="140"/>
    </row>
    <row r="270" spans="1:32" s="201" customFormat="1" ht="11.25" customHeight="1">
      <c r="A270" s="564"/>
      <c r="B270" s="68"/>
      <c r="C270" s="68"/>
      <c r="L270" s="63"/>
      <c r="M270" s="68"/>
      <c r="N270" s="68"/>
      <c r="O270" s="63"/>
      <c r="P270" s="63"/>
      <c r="Q270" s="63"/>
      <c r="R270" s="63"/>
      <c r="S270" s="68"/>
      <c r="T270" s="63"/>
      <c r="U270" s="63"/>
      <c r="V270" s="307"/>
      <c r="W270" s="63"/>
      <c r="X270" s="63"/>
      <c r="Y270" s="63"/>
      <c r="Z270" s="63"/>
      <c r="AA270" s="63"/>
      <c r="AB270" s="9"/>
      <c r="AC270" s="140"/>
      <c r="AD270" s="140"/>
      <c r="AE270" s="140"/>
      <c r="AF270" s="140"/>
    </row>
    <row r="271" spans="1:32" s="201" customFormat="1" ht="11.25" customHeight="1">
      <c r="A271" s="564"/>
      <c r="B271" s="68"/>
      <c r="C271" s="68"/>
      <c r="L271" s="63"/>
      <c r="M271" s="68"/>
      <c r="N271" s="68"/>
      <c r="O271" s="63"/>
      <c r="P271" s="63"/>
      <c r="Q271" s="63"/>
      <c r="R271" s="63"/>
      <c r="S271" s="68"/>
      <c r="T271" s="63"/>
      <c r="U271" s="63"/>
      <c r="V271" s="307"/>
      <c r="W271" s="63"/>
      <c r="X271" s="63"/>
      <c r="Y271" s="63"/>
      <c r="Z271" s="63"/>
      <c r="AA271" s="63"/>
      <c r="AB271" s="9"/>
      <c r="AC271" s="140"/>
      <c r="AD271" s="140"/>
      <c r="AE271" s="140"/>
      <c r="AF271" s="140"/>
    </row>
    <row r="272" spans="1:32" s="201" customFormat="1" ht="11.25" customHeight="1">
      <c r="A272" s="564"/>
      <c r="B272" s="68"/>
      <c r="C272" s="68"/>
      <c r="L272" s="63"/>
      <c r="M272" s="68"/>
      <c r="N272" s="68"/>
      <c r="O272" s="63"/>
      <c r="P272" s="63"/>
      <c r="Q272" s="63"/>
      <c r="R272" s="63"/>
      <c r="S272" s="68"/>
      <c r="T272" s="63"/>
      <c r="U272" s="63"/>
      <c r="V272" s="307"/>
      <c r="W272" s="63"/>
      <c r="X272" s="63"/>
      <c r="Y272" s="63"/>
      <c r="Z272" s="63"/>
      <c r="AA272" s="63"/>
      <c r="AB272" s="9"/>
      <c r="AC272" s="140"/>
      <c r="AD272" s="140"/>
      <c r="AE272" s="140"/>
      <c r="AF272" s="140"/>
    </row>
    <row r="273" spans="1:32" s="201" customFormat="1" ht="11.25" customHeight="1">
      <c r="A273" s="564"/>
      <c r="B273" s="68"/>
      <c r="C273" s="68"/>
      <c r="L273" s="63"/>
      <c r="M273" s="68"/>
      <c r="N273" s="68"/>
      <c r="O273" s="63"/>
      <c r="P273" s="63"/>
      <c r="Q273" s="63"/>
      <c r="R273" s="63"/>
      <c r="S273" s="68"/>
      <c r="T273" s="63"/>
      <c r="U273" s="63"/>
      <c r="V273" s="307"/>
      <c r="W273" s="63"/>
      <c r="X273" s="63"/>
      <c r="Y273" s="63"/>
      <c r="Z273" s="63"/>
      <c r="AA273" s="63"/>
      <c r="AB273" s="9"/>
      <c r="AC273" s="140"/>
      <c r="AD273" s="140"/>
      <c r="AE273" s="140"/>
      <c r="AF273" s="140"/>
    </row>
    <row r="274" spans="1:32" s="201" customFormat="1" ht="11.25" customHeight="1">
      <c r="A274" s="564"/>
      <c r="B274" s="68"/>
      <c r="C274" s="68"/>
      <c r="L274" s="63"/>
      <c r="M274" s="68"/>
      <c r="N274" s="68"/>
      <c r="O274" s="63"/>
      <c r="P274" s="63"/>
      <c r="Q274" s="63"/>
      <c r="R274" s="63"/>
      <c r="S274" s="68"/>
      <c r="T274" s="63"/>
      <c r="U274" s="63"/>
      <c r="V274" s="307"/>
      <c r="W274" s="63"/>
      <c r="X274" s="63"/>
      <c r="Y274" s="63"/>
      <c r="Z274" s="63"/>
      <c r="AA274" s="63"/>
      <c r="AB274" s="9"/>
      <c r="AC274" s="140"/>
      <c r="AD274" s="140"/>
      <c r="AE274" s="140"/>
      <c r="AF274" s="140"/>
    </row>
    <row r="275" spans="1:32" s="201" customFormat="1" ht="11.25" customHeight="1">
      <c r="A275" s="564"/>
      <c r="B275" s="68"/>
      <c r="C275" s="68"/>
      <c r="L275" s="63"/>
      <c r="M275" s="68"/>
      <c r="N275" s="68"/>
      <c r="O275" s="63"/>
      <c r="P275" s="63"/>
      <c r="Q275" s="63"/>
      <c r="R275" s="63"/>
      <c r="S275" s="68"/>
      <c r="T275" s="63"/>
      <c r="U275" s="63"/>
      <c r="V275" s="307"/>
      <c r="W275" s="63"/>
      <c r="X275" s="63"/>
      <c r="Y275" s="63"/>
      <c r="Z275" s="63"/>
      <c r="AA275" s="63"/>
      <c r="AB275" s="9"/>
      <c r="AC275" s="140"/>
      <c r="AD275" s="140"/>
      <c r="AE275" s="140"/>
      <c r="AF275" s="140"/>
    </row>
    <row r="276" spans="1:32" s="201" customFormat="1" ht="11.25" customHeight="1">
      <c r="A276" s="564"/>
      <c r="B276" s="68"/>
      <c r="C276" s="68"/>
      <c r="L276" s="63"/>
      <c r="M276" s="68"/>
      <c r="N276" s="68"/>
      <c r="O276" s="63"/>
      <c r="P276" s="63"/>
      <c r="Q276" s="63"/>
      <c r="R276" s="63"/>
      <c r="S276" s="68"/>
      <c r="T276" s="63"/>
      <c r="U276" s="63"/>
      <c r="V276" s="307"/>
      <c r="W276" s="63"/>
      <c r="X276" s="63"/>
      <c r="Y276" s="63"/>
      <c r="Z276" s="63"/>
      <c r="AA276" s="63"/>
      <c r="AB276" s="9"/>
      <c r="AC276" s="140"/>
      <c r="AD276" s="140"/>
      <c r="AE276" s="140"/>
      <c r="AF276" s="140"/>
    </row>
    <row r="277" spans="1:32" s="201" customFormat="1" ht="11.25" customHeight="1">
      <c r="A277" s="564"/>
      <c r="B277" s="68"/>
      <c r="C277" s="68"/>
      <c r="L277" s="63"/>
      <c r="M277" s="68"/>
      <c r="N277" s="68"/>
      <c r="O277" s="63"/>
      <c r="P277" s="63"/>
      <c r="Q277" s="63"/>
      <c r="R277" s="63"/>
      <c r="S277" s="68"/>
      <c r="T277" s="63"/>
      <c r="U277" s="63"/>
      <c r="V277" s="307"/>
      <c r="W277" s="63"/>
      <c r="X277" s="63"/>
      <c r="Y277" s="63"/>
      <c r="Z277" s="63"/>
      <c r="AA277" s="63"/>
      <c r="AB277" s="9"/>
      <c r="AC277" s="140"/>
      <c r="AD277" s="140"/>
      <c r="AE277" s="140"/>
      <c r="AF277" s="140"/>
    </row>
    <row r="278" spans="1:32" s="201" customFormat="1" ht="11.25" customHeight="1">
      <c r="A278" s="564"/>
      <c r="B278" s="68"/>
      <c r="C278" s="68"/>
      <c r="L278" s="63"/>
      <c r="M278" s="68"/>
      <c r="N278" s="68"/>
      <c r="O278" s="63"/>
      <c r="P278" s="63"/>
      <c r="Q278" s="63"/>
      <c r="R278" s="63"/>
      <c r="S278" s="68"/>
      <c r="T278" s="63"/>
      <c r="U278" s="63"/>
      <c r="V278" s="307"/>
      <c r="W278" s="63"/>
      <c r="X278" s="63"/>
      <c r="Y278" s="63"/>
      <c r="Z278" s="63"/>
      <c r="AA278" s="63"/>
      <c r="AB278" s="9"/>
      <c r="AC278" s="140"/>
      <c r="AD278" s="140"/>
      <c r="AE278" s="140"/>
      <c r="AF278" s="140"/>
    </row>
    <row r="279" spans="1:32" s="201" customFormat="1" ht="11.25" customHeight="1">
      <c r="A279" s="564"/>
      <c r="B279" s="68"/>
      <c r="C279" s="68"/>
      <c r="L279" s="63"/>
      <c r="M279" s="68"/>
      <c r="N279" s="68"/>
      <c r="O279" s="63"/>
      <c r="P279" s="63"/>
      <c r="Q279" s="63"/>
      <c r="R279" s="63"/>
      <c r="S279" s="68"/>
      <c r="T279" s="63"/>
      <c r="U279" s="63"/>
      <c r="V279" s="307"/>
      <c r="W279" s="63"/>
      <c r="X279" s="63"/>
      <c r="Y279" s="63"/>
      <c r="Z279" s="63"/>
      <c r="AA279" s="63"/>
      <c r="AB279" s="9"/>
      <c r="AC279" s="140"/>
      <c r="AD279" s="140"/>
      <c r="AE279" s="140"/>
      <c r="AF279" s="140"/>
    </row>
    <row r="280" spans="1:32" s="201" customFormat="1" ht="11.25" customHeight="1">
      <c r="A280" s="564"/>
      <c r="B280" s="68"/>
      <c r="C280" s="68"/>
      <c r="L280" s="63"/>
      <c r="M280" s="68"/>
      <c r="N280" s="68"/>
      <c r="O280" s="63"/>
      <c r="P280" s="63"/>
      <c r="Q280" s="63"/>
      <c r="R280" s="63"/>
      <c r="S280" s="68"/>
      <c r="T280" s="63"/>
      <c r="U280" s="63"/>
      <c r="V280" s="307"/>
      <c r="W280" s="63"/>
      <c r="X280" s="63"/>
      <c r="Y280" s="63"/>
      <c r="Z280" s="63"/>
      <c r="AA280" s="63"/>
      <c r="AB280" s="9"/>
      <c r="AC280" s="140"/>
      <c r="AD280" s="140"/>
      <c r="AE280" s="140"/>
      <c r="AF280" s="140"/>
    </row>
    <row r="281" spans="1:32" s="201" customFormat="1" ht="11.25" customHeight="1">
      <c r="A281" s="564"/>
      <c r="B281" s="68"/>
      <c r="C281" s="68"/>
      <c r="L281" s="63"/>
      <c r="M281" s="68"/>
      <c r="N281" s="68"/>
      <c r="O281" s="63"/>
      <c r="P281" s="63"/>
      <c r="Q281" s="63"/>
      <c r="R281" s="63"/>
      <c r="S281" s="68"/>
      <c r="T281" s="63"/>
      <c r="U281" s="63"/>
      <c r="V281" s="307"/>
      <c r="W281" s="63"/>
      <c r="X281" s="63"/>
      <c r="Y281" s="63"/>
      <c r="Z281" s="63"/>
      <c r="AA281" s="63"/>
      <c r="AB281" s="9"/>
      <c r="AC281" s="140"/>
      <c r="AD281" s="140"/>
      <c r="AE281" s="140"/>
      <c r="AF281" s="140"/>
    </row>
    <row r="282" spans="1:32" s="201" customFormat="1" ht="11.25" customHeight="1">
      <c r="A282" s="564"/>
      <c r="B282" s="68"/>
      <c r="C282" s="68"/>
      <c r="L282" s="63"/>
      <c r="M282" s="68"/>
      <c r="N282" s="68"/>
      <c r="O282" s="63"/>
      <c r="P282" s="63"/>
      <c r="Q282" s="63"/>
      <c r="R282" s="63"/>
      <c r="S282" s="68"/>
      <c r="T282" s="63"/>
      <c r="U282" s="63"/>
      <c r="V282" s="307"/>
      <c r="W282" s="63"/>
      <c r="X282" s="63"/>
      <c r="Y282" s="63"/>
      <c r="Z282" s="63"/>
      <c r="AA282" s="63"/>
      <c r="AB282" s="9"/>
      <c r="AC282" s="140"/>
      <c r="AD282" s="140"/>
      <c r="AE282" s="140"/>
      <c r="AF282" s="140"/>
    </row>
    <row r="283" spans="1:32" s="201" customFormat="1" ht="11.25" customHeight="1">
      <c r="A283" s="564"/>
      <c r="B283" s="68"/>
      <c r="C283" s="68"/>
      <c r="L283" s="63"/>
      <c r="M283" s="68"/>
      <c r="N283" s="68"/>
      <c r="O283" s="63"/>
      <c r="P283" s="63"/>
      <c r="Q283" s="63"/>
      <c r="R283" s="63"/>
      <c r="S283" s="68"/>
      <c r="T283" s="63"/>
      <c r="U283" s="63"/>
      <c r="V283" s="307"/>
      <c r="W283" s="63"/>
      <c r="X283" s="63"/>
      <c r="Y283" s="63"/>
      <c r="Z283" s="63"/>
      <c r="AA283" s="63"/>
      <c r="AB283" s="9"/>
      <c r="AC283" s="140"/>
      <c r="AD283" s="140"/>
      <c r="AE283" s="140"/>
      <c r="AF283" s="140"/>
    </row>
    <row r="284" spans="1:32" s="201" customFormat="1" ht="11.25" customHeight="1">
      <c r="A284" s="564"/>
      <c r="B284" s="68"/>
      <c r="C284" s="68"/>
      <c r="L284" s="63"/>
      <c r="M284" s="68"/>
      <c r="N284" s="68"/>
      <c r="O284" s="63"/>
      <c r="P284" s="63"/>
      <c r="Q284" s="63"/>
      <c r="R284" s="63"/>
      <c r="S284" s="68"/>
      <c r="T284" s="63"/>
      <c r="U284" s="63"/>
      <c r="V284" s="307"/>
      <c r="W284" s="63"/>
      <c r="X284" s="63"/>
      <c r="Y284" s="63"/>
      <c r="Z284" s="63"/>
      <c r="AA284" s="63"/>
      <c r="AB284" s="9"/>
      <c r="AC284" s="140"/>
      <c r="AD284" s="140"/>
      <c r="AE284" s="140"/>
      <c r="AF284" s="140"/>
    </row>
    <row r="285" spans="1:32" s="201" customFormat="1" ht="11.25" customHeight="1">
      <c r="A285" s="564"/>
      <c r="B285" s="68"/>
      <c r="C285" s="68"/>
      <c r="L285" s="63"/>
      <c r="M285" s="68"/>
      <c r="N285" s="68"/>
      <c r="O285" s="63"/>
      <c r="P285" s="63"/>
      <c r="Q285" s="63"/>
      <c r="R285" s="63"/>
      <c r="S285" s="68"/>
      <c r="T285" s="63"/>
      <c r="U285" s="63"/>
      <c r="V285" s="307"/>
      <c r="W285" s="63"/>
      <c r="X285" s="63"/>
      <c r="Y285" s="63"/>
      <c r="Z285" s="63"/>
      <c r="AA285" s="63"/>
      <c r="AB285" s="9"/>
      <c r="AC285" s="140"/>
      <c r="AD285" s="140"/>
      <c r="AE285" s="140"/>
      <c r="AF285" s="140"/>
    </row>
    <row r="286" spans="1:32" s="201" customFormat="1" ht="11.25" customHeight="1">
      <c r="A286" s="564"/>
      <c r="B286" s="68"/>
      <c r="C286" s="68"/>
      <c r="L286" s="63"/>
      <c r="M286" s="68"/>
      <c r="N286" s="68"/>
      <c r="O286" s="63"/>
      <c r="P286" s="63"/>
      <c r="Q286" s="63"/>
      <c r="R286" s="63"/>
      <c r="S286" s="68"/>
      <c r="T286" s="63"/>
      <c r="U286" s="63"/>
      <c r="V286" s="307"/>
      <c r="W286" s="63"/>
      <c r="X286" s="63"/>
      <c r="Y286" s="63"/>
      <c r="Z286" s="63"/>
      <c r="AA286" s="63"/>
      <c r="AB286" s="9"/>
      <c r="AC286" s="140"/>
      <c r="AD286" s="140"/>
      <c r="AE286" s="140"/>
      <c r="AF286" s="140"/>
    </row>
    <row r="287" spans="1:32" s="201" customFormat="1" ht="11.25" customHeight="1">
      <c r="A287" s="564"/>
      <c r="B287" s="68"/>
      <c r="C287" s="68"/>
      <c r="L287" s="63"/>
      <c r="M287" s="68"/>
      <c r="N287" s="68"/>
      <c r="O287" s="63"/>
      <c r="P287" s="63"/>
      <c r="Q287" s="63"/>
      <c r="R287" s="63"/>
      <c r="S287" s="68"/>
      <c r="T287" s="63"/>
      <c r="U287" s="63"/>
      <c r="V287" s="307"/>
      <c r="W287" s="63"/>
      <c r="X287" s="63"/>
      <c r="Y287" s="63"/>
      <c r="Z287" s="63"/>
      <c r="AA287" s="63"/>
      <c r="AB287" s="9"/>
      <c r="AC287" s="140"/>
      <c r="AD287" s="140"/>
      <c r="AE287" s="140"/>
      <c r="AF287" s="140"/>
    </row>
    <row r="288" spans="1:32" s="201" customFormat="1" ht="11.25" customHeight="1">
      <c r="A288" s="564"/>
      <c r="B288" s="68"/>
      <c r="C288" s="68"/>
      <c r="L288" s="63"/>
      <c r="M288" s="68"/>
      <c r="N288" s="68"/>
      <c r="O288" s="63"/>
      <c r="P288" s="63"/>
      <c r="Q288" s="63"/>
      <c r="R288" s="63"/>
      <c r="S288" s="68"/>
      <c r="T288" s="63"/>
      <c r="U288" s="63"/>
      <c r="V288" s="307"/>
      <c r="W288" s="63"/>
      <c r="X288" s="63"/>
      <c r="Y288" s="63"/>
      <c r="Z288" s="63"/>
      <c r="AA288" s="63"/>
      <c r="AB288" s="9"/>
      <c r="AC288" s="140"/>
      <c r="AD288" s="140"/>
      <c r="AE288" s="140"/>
      <c r="AF288" s="140"/>
    </row>
    <row r="292" spans="1:32" ht="11.25" customHeight="1">
      <c r="A292" s="567"/>
      <c r="B292" s="12"/>
      <c r="L292" s="12"/>
      <c r="O292" s="12"/>
      <c r="P292" s="12"/>
      <c r="Q292" s="12"/>
      <c r="R292" s="12"/>
      <c r="T292" s="12"/>
      <c r="U292" s="12"/>
      <c r="V292" s="12"/>
      <c r="W292" s="12"/>
      <c r="X292" s="12"/>
      <c r="Y292" s="12"/>
      <c r="Z292" s="12"/>
      <c r="AA292" s="12"/>
      <c r="AB292" s="12"/>
      <c r="AC292" s="12"/>
      <c r="AD292" s="12"/>
      <c r="AE292" s="12"/>
      <c r="AF292" s="12"/>
    </row>
    <row r="293" spans="1:32" ht="11.25" customHeight="1">
      <c r="A293" s="567"/>
      <c r="B293" s="12"/>
      <c r="L293" s="12"/>
      <c r="O293" s="12"/>
      <c r="P293" s="12"/>
      <c r="Q293" s="12"/>
      <c r="R293" s="12"/>
      <c r="T293" s="12"/>
      <c r="U293" s="12"/>
      <c r="V293" s="12"/>
      <c r="W293" s="12"/>
      <c r="X293" s="12"/>
      <c r="Y293" s="12"/>
      <c r="Z293" s="12"/>
      <c r="AA293" s="12"/>
      <c r="AB293" s="12"/>
      <c r="AC293" s="12"/>
      <c r="AD293" s="12"/>
      <c r="AE293" s="12"/>
      <c r="AF293" s="12"/>
    </row>
    <row r="294" spans="1:32" ht="11.25" customHeight="1">
      <c r="A294" s="567"/>
      <c r="B294" s="12"/>
      <c r="L294" s="12"/>
      <c r="O294" s="12"/>
      <c r="P294" s="12"/>
      <c r="Q294" s="12"/>
      <c r="R294" s="12"/>
      <c r="T294" s="12"/>
      <c r="U294" s="12"/>
      <c r="V294" s="12"/>
      <c r="W294" s="12"/>
      <c r="X294" s="12"/>
      <c r="Y294" s="12"/>
      <c r="Z294" s="12"/>
      <c r="AA294" s="12"/>
      <c r="AB294" s="12"/>
      <c r="AC294" s="12"/>
      <c r="AD294" s="12"/>
      <c r="AE294" s="12"/>
      <c r="AF294" s="12"/>
    </row>
    <row r="295" spans="1:32" ht="11.25" customHeight="1">
      <c r="A295" s="567"/>
      <c r="B295" s="12"/>
      <c r="L295" s="12"/>
      <c r="O295" s="12"/>
      <c r="P295" s="12"/>
      <c r="Q295" s="12"/>
      <c r="R295" s="12"/>
      <c r="T295" s="12"/>
      <c r="U295" s="12"/>
      <c r="V295" s="12"/>
      <c r="W295" s="12"/>
      <c r="X295" s="12"/>
      <c r="Y295" s="12"/>
      <c r="Z295" s="12"/>
      <c r="AA295" s="12"/>
      <c r="AB295" s="12"/>
      <c r="AC295" s="12"/>
      <c r="AD295" s="12"/>
      <c r="AE295" s="12"/>
      <c r="AF295" s="12"/>
    </row>
    <row r="296" spans="1:32" ht="11.25" customHeight="1">
      <c r="A296" s="567"/>
      <c r="B296" s="12"/>
      <c r="L296" s="12"/>
      <c r="O296" s="12"/>
      <c r="P296" s="12"/>
      <c r="Q296" s="12"/>
      <c r="R296" s="12"/>
      <c r="T296" s="12"/>
      <c r="U296" s="12"/>
      <c r="V296" s="12"/>
      <c r="W296" s="12"/>
      <c r="X296" s="12"/>
      <c r="Y296" s="12"/>
      <c r="Z296" s="12"/>
      <c r="AA296" s="12"/>
      <c r="AB296" s="12"/>
      <c r="AC296" s="12"/>
      <c r="AD296" s="12"/>
      <c r="AE296" s="12"/>
      <c r="AF296" s="12"/>
    </row>
    <row r="297" spans="1:32" ht="11.25" customHeight="1">
      <c r="A297" s="567"/>
      <c r="B297" s="12"/>
      <c r="L297" s="12"/>
      <c r="O297" s="12"/>
      <c r="P297" s="12"/>
      <c r="Q297" s="12"/>
      <c r="R297" s="12"/>
      <c r="T297" s="12"/>
      <c r="U297" s="12"/>
      <c r="V297" s="12"/>
      <c r="W297" s="12"/>
      <c r="X297" s="12"/>
      <c r="Y297" s="12"/>
      <c r="Z297" s="12"/>
      <c r="AA297" s="12"/>
      <c r="AB297" s="12"/>
      <c r="AC297" s="12"/>
      <c r="AD297" s="12"/>
      <c r="AE297" s="12"/>
      <c r="AF297" s="12"/>
    </row>
    <row r="298" spans="1:32" ht="11.25" customHeight="1">
      <c r="A298" s="567"/>
      <c r="B298" s="12"/>
      <c r="L298" s="12"/>
      <c r="O298" s="12"/>
      <c r="P298" s="12"/>
      <c r="Q298" s="12"/>
      <c r="R298" s="12"/>
      <c r="T298" s="12"/>
      <c r="U298" s="12"/>
      <c r="V298" s="12"/>
      <c r="W298" s="12"/>
      <c r="X298" s="12"/>
      <c r="Y298" s="12"/>
      <c r="Z298" s="12"/>
      <c r="AA298" s="12"/>
      <c r="AB298" s="12"/>
      <c r="AC298" s="12"/>
      <c r="AD298" s="12"/>
      <c r="AE298" s="12"/>
      <c r="AF298" s="12"/>
    </row>
    <row r="299" spans="1:32" ht="11.25" customHeight="1">
      <c r="A299" s="567"/>
      <c r="B299" s="12"/>
      <c r="L299" s="12"/>
      <c r="O299" s="12"/>
      <c r="P299" s="12"/>
      <c r="Q299" s="12"/>
      <c r="R299" s="12"/>
      <c r="T299" s="12"/>
      <c r="U299" s="12"/>
      <c r="V299" s="12"/>
      <c r="W299" s="12"/>
      <c r="X299" s="12"/>
      <c r="Y299" s="12"/>
      <c r="Z299" s="12"/>
      <c r="AA299" s="12"/>
      <c r="AB299" s="12"/>
      <c r="AC299" s="12"/>
      <c r="AD299" s="12"/>
      <c r="AE299" s="12"/>
      <c r="AF299" s="12"/>
    </row>
    <row r="300" spans="1:32" ht="11.25" customHeight="1">
      <c r="A300" s="567"/>
      <c r="B300" s="12"/>
      <c r="L300" s="12"/>
      <c r="O300" s="12"/>
      <c r="P300" s="12"/>
      <c r="Q300" s="12"/>
      <c r="R300" s="12"/>
      <c r="T300" s="12"/>
      <c r="U300" s="12"/>
      <c r="V300" s="12"/>
      <c r="W300" s="12"/>
      <c r="X300" s="12"/>
      <c r="Y300" s="12"/>
      <c r="Z300" s="12"/>
      <c r="AA300" s="12"/>
      <c r="AB300" s="12"/>
      <c r="AC300" s="12"/>
      <c r="AD300" s="12"/>
      <c r="AE300" s="12"/>
      <c r="AF300" s="12"/>
    </row>
    <row r="301" spans="1:32" ht="11.25" customHeight="1">
      <c r="A301" s="567"/>
      <c r="B301" s="12"/>
      <c r="L301" s="12"/>
      <c r="O301" s="12"/>
      <c r="P301" s="12"/>
      <c r="Q301" s="12"/>
      <c r="R301" s="12"/>
      <c r="T301" s="12"/>
      <c r="U301" s="12"/>
      <c r="V301" s="12"/>
      <c r="W301" s="12"/>
      <c r="X301" s="12"/>
      <c r="Y301" s="12"/>
      <c r="Z301" s="12"/>
      <c r="AA301" s="12"/>
      <c r="AB301" s="12"/>
      <c r="AC301" s="12"/>
      <c r="AD301" s="12"/>
      <c r="AE301" s="12"/>
      <c r="AF301" s="12"/>
    </row>
    <row r="302" spans="1:32" ht="11.25" customHeight="1">
      <c r="A302" s="567"/>
      <c r="B302" s="12"/>
      <c r="L302" s="12"/>
      <c r="O302" s="12"/>
      <c r="P302" s="12"/>
      <c r="Q302" s="12"/>
      <c r="R302" s="12"/>
      <c r="T302" s="12"/>
      <c r="U302" s="12"/>
      <c r="V302" s="12"/>
      <c r="W302" s="12"/>
      <c r="X302" s="12"/>
      <c r="Y302" s="12"/>
      <c r="Z302" s="12"/>
      <c r="AA302" s="12"/>
      <c r="AB302" s="12"/>
      <c r="AC302" s="12"/>
      <c r="AD302" s="12"/>
      <c r="AE302" s="12"/>
      <c r="AF302" s="12"/>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xr:uid="{00000000-0002-0000-2000-000000000000}"/>
    <dataValidation type="decimal" allowBlank="1" showErrorMessage="1" errorTitle="Ошибка" error="Введите значение от 0 до 100%" sqref="H90:J90 H95:J95" xr:uid="{00000000-0002-0000-2000-000001000000}">
      <formula1>0</formula1>
      <formula2>100</formula2>
    </dataValidation>
    <dataValidation type="decimal" allowBlank="1" showErrorMessage="1" errorTitle="Ошибка" error="Допускается ввод только действительных чисел!" sqref="H123:J123 H120:J120 H126:J126 H75:J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J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J7" xr:uid="{00000000-0002-0000-2000-00000B000000}">
      <formula1>kind_of_purchase_method</formula1>
    </dataValidation>
  </dataValidations>
  <hyperlinks>
    <hyperlink ref="I81" r:id="rId1" xr:uid="{C11D09CF-ACC2-C2BE-A504-2E0BCAFAD494}"/>
    <hyperlink ref="J81" r:id="rId2" xr:uid="{9E973F6D-9DF9-F1A6-310F-6068B3E49741}"/>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48003-3D69-89DB-EE3F-16B2FC398401}">
  <sheetPr>
    <tabColor theme="9" tint="-0.249977111117893"/>
  </sheetPr>
  <dimension ref="A1:CE36"/>
  <sheetViews>
    <sheetView showGridLines="0" topLeftCell="C4" zoomScale="90" workbookViewId="0">
      <selection activeCell="A23" sqref="A23:CE31"/>
    </sheetView>
  </sheetViews>
  <sheetFormatPr defaultColWidth="9.140625" defaultRowHeight="11.25" customHeight="1"/>
  <cols>
    <col min="1" max="1" width="14.7109375" style="347" hidden="1" customWidth="1"/>
    <col min="2" max="2" width="17" style="9" hidden="1" customWidth="1"/>
    <col min="3" max="3" width="3.7109375" style="12" customWidth="1"/>
    <col min="4" max="4" width="1.85546875" style="12" hidden="1" customWidth="1"/>
    <col min="5" max="6" width="7.7109375" style="12" customWidth="1"/>
    <col min="7" max="7" width="29.7109375" style="12" customWidth="1"/>
    <col min="8" max="8" width="3.7109375" style="12" customWidth="1"/>
    <col min="9" max="9" width="5.42578125" style="12" customWidth="1"/>
    <col min="10" max="10" width="24.5703125" style="12" customWidth="1"/>
    <col min="11" max="11" width="24.42578125" style="12" customWidth="1"/>
    <col min="12" max="12" width="3.7109375" style="12" customWidth="1"/>
    <col min="13" max="13" width="6.28515625" style="12" customWidth="1"/>
    <col min="14" max="14" width="25.85546875" style="12" customWidth="1"/>
    <col min="15" max="18" width="18.7109375" style="12" customWidth="1"/>
    <col min="19" max="19" width="93.42578125" style="12" customWidth="1"/>
    <col min="20" max="20" width="10.5703125" style="12" customWidth="1"/>
    <col min="21" max="21" width="10.5703125" style="68" customWidth="1"/>
    <col min="22" max="22" width="11.7109375" style="68" customWidth="1"/>
    <col min="23" max="27" width="10.5703125" style="9" customWidth="1"/>
    <col min="28" max="83" width="9.140625" style="12"/>
  </cols>
  <sheetData>
    <row r="1" spans="1:83" ht="11.25" hidden="1" customHeight="1"/>
    <row r="2" spans="1:83" ht="11.25" hidden="1" customHeight="1"/>
    <row r="3" spans="1:83" ht="11.25" hidden="1" customHeight="1"/>
    <row r="4" spans="1:83" ht="3" customHeight="1">
      <c r="K4" s="77"/>
      <c r="L4" s="77"/>
      <c r="M4" s="77"/>
    </row>
    <row r="5" spans="1:83" ht="28.5" customHeight="1">
      <c r="D5" s="223"/>
      <c r="E5" s="1249" t="str">
        <f>FHD20_NAME_FORM</f>
        <v>Форма 11. Информация о расходах на капитальный и текущий ремонт основных средств</v>
      </c>
      <c r="F5" s="1249"/>
      <c r="G5" s="1249"/>
      <c r="H5" s="1249"/>
      <c r="I5" s="1249"/>
      <c r="J5" s="1249"/>
      <c r="K5" s="1249"/>
      <c r="L5" s="59"/>
      <c r="M5" s="59"/>
    </row>
    <row r="6" spans="1:83" s="12" customFormat="1" ht="16.5" customHeight="1">
      <c r="A6" s="347"/>
      <c r="B6" s="9"/>
      <c r="D6" s="610"/>
      <c r="E6" s="1194" t="str">
        <f>IF(org=0,"Не определено",org)</f>
        <v>АО "ХТК"</v>
      </c>
      <c r="F6" s="1194"/>
      <c r="G6" s="1194"/>
      <c r="H6" s="1194"/>
      <c r="I6" s="1194"/>
      <c r="J6" s="1194"/>
      <c r="K6" s="1194"/>
      <c r="L6" s="59"/>
      <c r="M6" s="59"/>
      <c r="U6" s="68"/>
      <c r="V6" s="68"/>
      <c r="W6" s="9"/>
      <c r="X6" s="9"/>
      <c r="Y6" s="9"/>
      <c r="Z6" s="9"/>
      <c r="AA6" s="9"/>
    </row>
    <row r="7" spans="1:83" ht="11.25" customHeight="1">
      <c r="G7" s="59"/>
      <c r="H7" s="59"/>
      <c r="I7" s="59"/>
      <c r="J7" s="59"/>
      <c r="K7" s="1"/>
      <c r="L7" s="1"/>
      <c r="M7" s="1"/>
      <c r="R7" s="426"/>
    </row>
    <row r="8" spans="1:83" s="201" customFormat="1" ht="5.25" customHeight="1">
      <c r="A8" s="349"/>
      <c r="B8" s="140"/>
      <c r="G8" s="552"/>
      <c r="H8" s="552"/>
      <c r="I8" s="552"/>
      <c r="J8" s="552"/>
      <c r="K8" s="585"/>
      <c r="L8" s="585"/>
      <c r="M8" s="585"/>
      <c r="R8" s="586"/>
      <c r="U8" s="68"/>
      <c r="V8" s="68"/>
      <c r="W8" s="140"/>
      <c r="X8" s="140"/>
      <c r="Y8" s="140"/>
      <c r="Z8" s="140"/>
      <c r="AA8" s="140"/>
    </row>
    <row r="9" spans="1:83" ht="18.75" customHeight="1">
      <c r="D9" s="67"/>
      <c r="E9" s="1117" t="s">
        <v>299</v>
      </c>
      <c r="F9" s="1122"/>
      <c r="G9" s="1122"/>
      <c r="H9" s="1122"/>
      <c r="I9" s="1122"/>
      <c r="J9" s="1122"/>
      <c r="K9" s="1122"/>
      <c r="L9" s="1122"/>
      <c r="M9" s="1122"/>
      <c r="N9" s="1122"/>
      <c r="O9" s="1122"/>
      <c r="P9" s="1122"/>
      <c r="Q9" s="1122"/>
      <c r="R9" s="1116"/>
      <c r="S9" s="1146" t="s">
        <v>300</v>
      </c>
      <c r="T9" s="194"/>
    </row>
    <row r="10" spans="1:83" ht="33.75" customHeight="1">
      <c r="D10" s="314" t="s">
        <v>84</v>
      </c>
      <c r="E10" s="1146" t="s">
        <v>84</v>
      </c>
      <c r="F10" s="1146"/>
      <c r="G10" s="42" t="s">
        <v>301</v>
      </c>
      <c r="H10" s="1146" t="s">
        <v>84</v>
      </c>
      <c r="I10" s="1146"/>
      <c r="J10" s="42" t="s">
        <v>602</v>
      </c>
      <c r="K10" s="42" t="s">
        <v>603</v>
      </c>
      <c r="L10" s="1146" t="s">
        <v>84</v>
      </c>
      <c r="M10" s="1146"/>
      <c r="N10" s="42" t="s">
        <v>604</v>
      </c>
      <c r="O10" s="42" t="s">
        <v>605</v>
      </c>
      <c r="P10" s="42" t="s">
        <v>606</v>
      </c>
      <c r="Q10" s="42" t="s">
        <v>607</v>
      </c>
      <c r="R10" s="42" t="s">
        <v>608</v>
      </c>
      <c r="S10" s="1146"/>
      <c r="T10" s="194"/>
    </row>
    <row r="11" spans="1:83" s="68" customFormat="1" ht="15" hidden="1" customHeight="1">
      <c r="A11" s="311"/>
      <c r="D11" s="311" t="s">
        <v>105</v>
      </c>
      <c r="E11" s="311"/>
      <c r="F11" s="311" t="s">
        <v>106</v>
      </c>
      <c r="G11" s="311" t="s">
        <v>86</v>
      </c>
      <c r="H11" s="311"/>
      <c r="I11" s="311" t="s">
        <v>87</v>
      </c>
      <c r="J11" s="311" t="s">
        <v>107</v>
      </c>
      <c r="K11" s="311" t="s">
        <v>88</v>
      </c>
      <c r="L11" s="311"/>
      <c r="M11" s="311" t="s">
        <v>89</v>
      </c>
      <c r="N11" s="311" t="s">
        <v>108</v>
      </c>
      <c r="O11" s="311" t="s">
        <v>149</v>
      </c>
      <c r="P11" s="311" t="s">
        <v>150</v>
      </c>
      <c r="Q11" s="311" t="s">
        <v>151</v>
      </c>
      <c r="R11" s="311" t="s">
        <v>152</v>
      </c>
      <c r="S11" s="311" t="s">
        <v>153</v>
      </c>
    </row>
    <row r="12" spans="1:83" s="12" customFormat="1" ht="0.75" customHeight="1">
      <c r="A12" s="347"/>
      <c r="B12" s="9"/>
      <c r="D12" s="311"/>
      <c r="E12" s="56"/>
      <c r="F12" s="56"/>
      <c r="Q12" s="78"/>
      <c r="R12" s="348"/>
      <c r="T12" s="194"/>
      <c r="U12" s="68"/>
      <c r="V12" s="68"/>
      <c r="W12" s="9"/>
      <c r="X12" s="9"/>
      <c r="Y12" s="9"/>
      <c r="Z12" s="9"/>
      <c r="AA12" s="9"/>
    </row>
    <row r="13" spans="1:83" s="201" customFormat="1" ht="0.75" customHeight="1">
      <c r="A13" s="349"/>
      <c r="B13" s="140"/>
      <c r="D13" s="311" t="s">
        <v>375</v>
      </c>
      <c r="E13" s="322"/>
      <c r="F13" s="322"/>
      <c r="G13" s="322"/>
      <c r="H13" s="322"/>
      <c r="I13" s="322"/>
      <c r="J13" s="322"/>
      <c r="K13" s="322"/>
      <c r="L13" s="322"/>
      <c r="M13" s="322"/>
      <c r="N13" s="322"/>
      <c r="O13" s="322"/>
      <c r="P13" s="322"/>
      <c r="Q13" s="322"/>
      <c r="R13" s="322"/>
      <c r="T13" s="194"/>
      <c r="U13" s="68"/>
      <c r="V13" s="68"/>
      <c r="W13" s="140"/>
      <c r="X13" s="140"/>
      <c r="Y13" s="140"/>
      <c r="Z13" s="140"/>
      <c r="AA13" s="140"/>
    </row>
    <row r="14" spans="1:83" ht="15" hidden="1" customHeight="1">
      <c r="A14" s="33" t="s">
        <v>114</v>
      </c>
      <c r="B14"/>
      <c r="C14"/>
      <c r="D14" s="1358" t="s">
        <v>105</v>
      </c>
      <c r="E14" s="1355" t="s">
        <v>101</v>
      </c>
      <c r="F14" s="1356"/>
      <c r="G14" s="1357"/>
      <c r="H14" s="1361" t="str">
        <f>IF(A14="","",INDEX(DIFFERENTIATION_UNMERGE_VD,MATCH(A14,DIFFERENTIATION_ID_DIFF,0)))</f>
        <v>Передача. Тепловая энергия</v>
      </c>
      <c r="I14" s="1361"/>
      <c r="J14" s="1361"/>
      <c r="K14" s="1361"/>
      <c r="L14" s="1361"/>
      <c r="M14" s="1361"/>
      <c r="N14" s="1361"/>
      <c r="O14" s="1361"/>
      <c r="P14" s="1361"/>
      <c r="Q14" s="1361"/>
      <c r="R14" s="1361"/>
      <c r="S14" s="407"/>
      <c r="T14" s="405"/>
      <c r="U14" s="102"/>
      <c r="V14" s="102"/>
      <c r="W14" s="62"/>
      <c r="X14" s="62"/>
      <c r="Y14" s="62"/>
      <c r="Z14" s="62"/>
      <c r="AA14" s="102"/>
      <c r="AB14" s="62"/>
      <c r="AC14" s="1353"/>
      <c r="AD14" s="62"/>
      <c r="AE14" s="350" t="s">
        <v>18</v>
      </c>
      <c r="AF14" s="350"/>
      <c r="AG14" s="351" t="s">
        <v>609</v>
      </c>
      <c r="AH14" s="352">
        <v>3</v>
      </c>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62"/>
      <c r="BW14" s="62"/>
      <c r="BX14" s="62"/>
      <c r="BY14" s="62"/>
      <c r="BZ14" s="62"/>
      <c r="CA14" s="62"/>
      <c r="CB14" s="62"/>
      <c r="CC14" s="62"/>
      <c r="CD14" s="62"/>
      <c r="CE14" s="62"/>
    </row>
    <row r="15" spans="1:83" ht="15" hidden="1" customHeight="1">
      <c r="A15" s="33"/>
      <c r="B15"/>
      <c r="C15"/>
      <c r="D15" s="1359"/>
      <c r="E15" s="1355" t="s">
        <v>563</v>
      </c>
      <c r="F15" s="1356"/>
      <c r="G15" s="1357"/>
      <c r="H15" s="1361" t="str">
        <f>IF(A14="","",INDEX(DIFFERENTIATION_UNMERGE_AREA,MATCH(A14,DIFFERENTIATION_ID_DIFF,0)))</f>
        <v>Территория 1</v>
      </c>
      <c r="I15" s="1361"/>
      <c r="J15" s="1361"/>
      <c r="K15" s="1361"/>
      <c r="L15" s="1361"/>
      <c r="M15" s="1361"/>
      <c r="N15" s="1361"/>
      <c r="O15" s="1361"/>
      <c r="P15" s="1361"/>
      <c r="Q15" s="1361"/>
      <c r="R15" s="1361"/>
      <c r="S15" s="407"/>
      <c r="T15" s="405"/>
      <c r="U15" s="102"/>
      <c r="V15" s="102"/>
      <c r="W15" s="62"/>
      <c r="X15" s="62"/>
      <c r="Y15" s="62"/>
      <c r="Z15" s="62"/>
      <c r="AA15" s="102"/>
      <c r="AB15" s="62"/>
      <c r="AC15" s="1353"/>
      <c r="AD15" s="62"/>
      <c r="AE15" s="350"/>
      <c r="AF15" s="350"/>
      <c r="AG15" s="351"/>
      <c r="AH15" s="35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62"/>
      <c r="BW15" s="62"/>
      <c r="BX15" s="62"/>
      <c r="BY15" s="62"/>
      <c r="BZ15" s="62"/>
      <c r="CA15" s="62"/>
      <c r="CB15" s="62"/>
      <c r="CC15" s="62"/>
      <c r="CD15" s="62"/>
      <c r="CE15" s="62"/>
    </row>
    <row r="16" spans="1:83" ht="15" hidden="1" customHeight="1">
      <c r="A16" s="33"/>
      <c r="B16"/>
      <c r="C16"/>
      <c r="D16" s="1359"/>
      <c r="E16" s="1355" t="s">
        <v>564</v>
      </c>
      <c r="F16" s="1356"/>
      <c r="G16" s="1357"/>
      <c r="H16" s="1361" t="str">
        <f>IF(A14="","",INDEX(DIFFERENTIATION_UNMERGE_SYSTEM,MATCH(A14,DIFFERENTIATION_ID_DIFF,0)))</f>
        <v>система теплоснабжения г. Кировск</v>
      </c>
      <c r="I16" s="1361"/>
      <c r="J16" s="1361"/>
      <c r="K16" s="1361"/>
      <c r="L16" s="1361"/>
      <c r="M16" s="1361"/>
      <c r="N16" s="1361"/>
      <c r="O16" s="1361"/>
      <c r="P16" s="1361"/>
      <c r="Q16" s="1361"/>
      <c r="R16" s="1361"/>
      <c r="S16" s="407"/>
      <c r="T16" s="405"/>
      <c r="U16" s="102"/>
      <c r="V16" s="102"/>
      <c r="W16" s="62"/>
      <c r="X16" s="62"/>
      <c r="Y16" s="62"/>
      <c r="Z16" s="62"/>
      <c r="AA16" s="102"/>
      <c r="AB16" s="62"/>
      <c r="AC16" s="1353"/>
      <c r="AD16" s="62"/>
      <c r="AE16" s="350"/>
      <c r="AF16" s="350"/>
      <c r="AG16" s="351"/>
      <c r="AH16" s="35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62"/>
      <c r="BW16" s="62"/>
      <c r="BX16" s="62"/>
      <c r="BY16" s="62"/>
      <c r="BZ16" s="62"/>
      <c r="CA16" s="62"/>
      <c r="CB16" s="62"/>
      <c r="CC16" s="62"/>
      <c r="CD16" s="62"/>
      <c r="CE16" s="62"/>
    </row>
    <row r="17" spans="1:83" ht="22.5" hidden="1" customHeight="1">
      <c r="A17" s="299"/>
      <c r="B17" s="63"/>
      <c r="C17" s="233"/>
      <c r="D17" s="1359"/>
      <c r="E17" s="1354" t="s">
        <v>610</v>
      </c>
      <c r="F17" s="1354"/>
      <c r="G17" s="1354"/>
      <c r="H17" s="1354"/>
      <c r="I17" s="1354"/>
      <c r="J17" s="1354"/>
      <c r="K17" s="1354"/>
      <c r="L17" s="1354"/>
      <c r="M17" s="1354"/>
      <c r="N17" s="1354"/>
      <c r="O17" s="1354"/>
      <c r="P17" s="1354"/>
      <c r="Q17" s="320">
        <f>SUMIF(T18:T19,"i",Q18:Q19)</f>
        <v>0</v>
      </c>
      <c r="R17" s="584"/>
      <c r="S17" s="151" t="s">
        <v>611</v>
      </c>
      <c r="T17" s="405" t="s">
        <v>612</v>
      </c>
      <c r="U17" s="1264">
        <v>1</v>
      </c>
      <c r="V17" s="1264" t="str">
        <f>INDEX(B_FHD_FLAG_INDEX_1,1,MATCH(A14,B_FHD_FLAG_DIFFERENTIATION,0))</f>
        <v>отсутствует</v>
      </c>
      <c r="W17" s="63"/>
      <c r="X17" s="63"/>
      <c r="Y17" s="63"/>
      <c r="Z17" s="63"/>
      <c r="AA17" s="68"/>
      <c r="AB17" s="63"/>
      <c r="AC17" s="1353"/>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row>
    <row r="18" spans="1:83" ht="11.25" hidden="1" customHeight="1">
      <c r="A18" s="120"/>
      <c r="B18" s="68"/>
      <c r="C18" s="68"/>
      <c r="D18" s="1359"/>
      <c r="E18" s="353"/>
      <c r="F18" s="353">
        <v>0</v>
      </c>
      <c r="G18" s="353"/>
      <c r="H18" s="353"/>
      <c r="I18" s="353"/>
      <c r="J18" s="353"/>
      <c r="K18" s="353"/>
      <c r="L18" s="353"/>
      <c r="M18" s="353"/>
      <c r="N18" s="353"/>
      <c r="O18" s="353"/>
      <c r="P18" s="353"/>
      <c r="Q18" s="353"/>
      <c r="R18" s="353"/>
      <c r="S18" s="315"/>
      <c r="T18" s="406"/>
      <c r="U18" s="1264"/>
      <c r="V18" s="1264"/>
      <c r="W18" s="68"/>
      <c r="X18" s="68"/>
      <c r="Y18" s="68"/>
      <c r="Z18" s="68"/>
      <c r="AA18" s="68"/>
      <c r="AB18" s="63"/>
      <c r="AC18" s="1353"/>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row>
    <row r="19" spans="1:83" ht="11.25" hidden="1" customHeight="1">
      <c r="A19" s="299"/>
      <c r="B19" s="63"/>
      <c r="C19" s="233"/>
      <c r="D19" s="1359"/>
      <c r="E19" s="182" t="s">
        <v>18</v>
      </c>
      <c r="F19" s="108" t="s">
        <v>18</v>
      </c>
      <c r="G19" s="108" t="s">
        <v>18</v>
      </c>
      <c r="H19" s="53" t="s">
        <v>18</v>
      </c>
      <c r="I19" s="53"/>
      <c r="J19" s="53"/>
      <c r="K19" s="53"/>
      <c r="L19" s="53"/>
      <c r="M19" s="53"/>
      <c r="N19" s="53"/>
      <c r="O19" s="53"/>
      <c r="P19" s="53"/>
      <c r="Q19" s="53"/>
      <c r="R19" s="344"/>
      <c r="S19" s="587"/>
      <c r="T19" s="406"/>
      <c r="U19" s="1264"/>
      <c r="V19" s="1264"/>
      <c r="W19" s="63"/>
      <c r="X19" s="63"/>
      <c r="Y19" s="63"/>
      <c r="Z19" s="63"/>
      <c r="AA19" s="68"/>
      <c r="AB19" s="63"/>
      <c r="AC19" s="1353"/>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row>
    <row r="20" spans="1:83" ht="22.5" hidden="1" customHeight="1">
      <c r="A20" s="299"/>
      <c r="B20" s="63"/>
      <c r="C20" s="233"/>
      <c r="D20" s="1359"/>
      <c r="E20" s="1354" t="s">
        <v>613</v>
      </c>
      <c r="F20" s="1354"/>
      <c r="G20" s="1354"/>
      <c r="H20" s="1354"/>
      <c r="I20" s="1354"/>
      <c r="J20" s="1354"/>
      <c r="K20" s="1354"/>
      <c r="L20" s="1354"/>
      <c r="M20" s="1354"/>
      <c r="N20" s="1354"/>
      <c r="O20" s="1354"/>
      <c r="P20" s="1354"/>
      <c r="Q20" s="320">
        <f>SUMIF(T21:T22,"i",Q21:Q22)</f>
        <v>0</v>
      </c>
      <c r="R20" s="584"/>
      <c r="S20" s="151" t="s">
        <v>614</v>
      </c>
      <c r="T20" s="405" t="s">
        <v>612</v>
      </c>
      <c r="U20" s="1264">
        <v>2</v>
      </c>
      <c r="V20" s="1264" t="str">
        <f>INDEX(B_FHD_FLAG_INDEX_2,1,MATCH(A14,B_FHD_FLAG_DIFFERENTIATION,0))</f>
        <v>отсутствует</v>
      </c>
      <c r="W20" s="63"/>
      <c r="X20" s="63"/>
      <c r="Y20" s="63"/>
      <c r="Z20" s="63"/>
      <c r="AA20" s="68"/>
      <c r="AB20" s="63"/>
      <c r="AC20" s="398"/>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row>
    <row r="21" spans="1:83" ht="11.25" hidden="1" customHeight="1">
      <c r="A21" s="120"/>
      <c r="B21" s="68"/>
      <c r="C21" s="68"/>
      <c r="D21" s="1359"/>
      <c r="E21" s="353"/>
      <c r="F21" s="353">
        <v>0</v>
      </c>
      <c r="G21" s="353"/>
      <c r="H21" s="353"/>
      <c r="I21" s="353"/>
      <c r="J21" s="353"/>
      <c r="K21" s="353"/>
      <c r="L21" s="353"/>
      <c r="M21" s="353"/>
      <c r="N21" s="353"/>
      <c r="O21" s="353"/>
      <c r="P21" s="353"/>
      <c r="Q21" s="353"/>
      <c r="R21" s="353"/>
      <c r="S21" s="315"/>
      <c r="T21" s="406"/>
      <c r="U21" s="1264"/>
      <c r="V21" s="1264"/>
      <c r="W21" s="68"/>
      <c r="X21" s="68"/>
      <c r="Y21" s="68"/>
      <c r="Z21" s="68"/>
      <c r="AA21" s="68"/>
      <c r="AB21" s="63"/>
      <c r="AC21" s="398"/>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row>
    <row r="22" spans="1:83" ht="11.25" hidden="1" customHeight="1">
      <c r="A22" s="299"/>
      <c r="B22" s="63"/>
      <c r="C22" s="233"/>
      <c r="D22" s="1360"/>
      <c r="E22" s="182" t="s">
        <v>18</v>
      </c>
      <c r="F22" s="108" t="s">
        <v>18</v>
      </c>
      <c r="G22" s="108" t="s">
        <v>18</v>
      </c>
      <c r="H22" s="53" t="s">
        <v>18</v>
      </c>
      <c r="I22" s="53"/>
      <c r="J22" s="53"/>
      <c r="K22" s="53"/>
      <c r="L22" s="53"/>
      <c r="M22" s="53"/>
      <c r="N22" s="53"/>
      <c r="O22" s="53"/>
      <c r="P22" s="53"/>
      <c r="Q22" s="53"/>
      <c r="R22" s="344"/>
      <c r="S22" s="587"/>
      <c r="T22" s="406"/>
      <c r="U22" s="1264"/>
      <c r="V22" s="1264"/>
      <c r="W22" s="63"/>
      <c r="X22" s="63"/>
      <c r="Y22" s="63"/>
      <c r="Z22" s="63"/>
      <c r="AA22" s="68"/>
      <c r="AB22" s="63"/>
      <c r="AC22" s="398"/>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row>
    <row r="23" spans="1:83" ht="15" hidden="1" customHeight="1">
      <c r="A23" s="33" t="s">
        <v>119</v>
      </c>
      <c r="B23"/>
      <c r="C23" t="s">
        <v>18</v>
      </c>
      <c r="D23" s="1363" t="s">
        <v>151</v>
      </c>
      <c r="E23" s="1355" t="s">
        <v>101</v>
      </c>
      <c r="F23" s="1356"/>
      <c r="G23" s="1357"/>
      <c r="H23" s="1361" t="str">
        <f>IF(A23="","",INDEX(DIFFERENTIATION_UNMERGE_VD,MATCH(A23,DIFFERENTIATION_ID_DIFF,0)))</f>
        <v>Передача. Тепловая энергия</v>
      </c>
      <c r="I23" s="1361"/>
      <c r="J23" s="1361"/>
      <c r="K23" s="1361"/>
      <c r="L23" s="1361"/>
      <c r="M23" s="1361"/>
      <c r="N23" s="1361"/>
      <c r="O23" s="1361"/>
      <c r="P23" s="1361"/>
      <c r="Q23" s="1361"/>
      <c r="R23" s="1361"/>
      <c r="S23" s="407"/>
      <c r="T23" s="405"/>
      <c r="U23" s="102"/>
      <c r="V23" s="102"/>
      <c r="W23" s="62"/>
      <c r="X23" s="62"/>
      <c r="Y23" s="62"/>
      <c r="Z23" s="62"/>
      <c r="AA23" s="102"/>
      <c r="AB23" s="62"/>
      <c r="AC23" s="1353"/>
      <c r="AD23" s="62"/>
      <c r="AE23" s="350" t="s">
        <v>18</v>
      </c>
      <c r="AF23" s="350"/>
      <c r="AG23" s="351" t="s">
        <v>609</v>
      </c>
      <c r="AH23" s="352">
        <v>3</v>
      </c>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62"/>
      <c r="BW23" s="62"/>
      <c r="BX23" s="62"/>
      <c r="BY23" s="62"/>
      <c r="BZ23" s="62"/>
      <c r="CA23" s="62"/>
      <c r="CB23" s="62"/>
      <c r="CC23" s="62"/>
      <c r="CD23" s="62"/>
      <c r="CE23" s="62"/>
    </row>
    <row r="24" spans="1:83" ht="15" hidden="1" customHeight="1">
      <c r="A24" s="33"/>
      <c r="B24"/>
      <c r="C24"/>
      <c r="D24" s="1364"/>
      <c r="E24" s="1355" t="s">
        <v>563</v>
      </c>
      <c r="F24" s="1356"/>
      <c r="G24" s="1357"/>
      <c r="H24" s="1361" t="str">
        <f>IF(A23="","",INDEX(DIFFERENTIATION_UNMERGE_AREA,MATCH(A23,DIFFERENTIATION_ID_DIFF,0)))</f>
        <v>Территория 1</v>
      </c>
      <c r="I24" s="1361"/>
      <c r="J24" s="1361"/>
      <c r="K24" s="1361"/>
      <c r="L24" s="1361"/>
      <c r="M24" s="1361"/>
      <c r="N24" s="1361"/>
      <c r="O24" s="1361"/>
      <c r="P24" s="1361"/>
      <c r="Q24" s="1361"/>
      <c r="R24" s="1361"/>
      <c r="S24" s="407"/>
      <c r="T24" s="405"/>
      <c r="U24" s="102"/>
      <c r="V24" s="102"/>
      <c r="W24" s="62"/>
      <c r="X24" s="62"/>
      <c r="Y24" s="62"/>
      <c r="Z24" s="62"/>
      <c r="AA24" s="102"/>
      <c r="AB24" s="62"/>
      <c r="AC24" s="1353"/>
      <c r="AD24" s="62"/>
      <c r="AE24" s="350"/>
      <c r="AF24" s="350"/>
      <c r="AG24" s="351"/>
      <c r="AH24" s="35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62"/>
      <c r="BW24" s="62"/>
      <c r="BX24" s="62"/>
      <c r="BY24" s="62"/>
      <c r="BZ24" s="62"/>
      <c r="CA24" s="62"/>
      <c r="CB24" s="62"/>
      <c r="CC24" s="62"/>
      <c r="CD24" s="62"/>
      <c r="CE24" s="62"/>
    </row>
    <row r="25" spans="1:83" ht="15" hidden="1" customHeight="1">
      <c r="A25" s="33"/>
      <c r="B25"/>
      <c r="C25"/>
      <c r="D25" s="1364"/>
      <c r="E25" s="1355" t="s">
        <v>564</v>
      </c>
      <c r="F25" s="1356"/>
      <c r="G25" s="1357"/>
      <c r="H25" s="1361" t="str">
        <f>IF(A23="","",INDEX(DIFFERENTIATION_UNMERGE_SYSTEM,MATCH(A23,DIFFERENTIATION_ID_DIFF,0)))</f>
        <v>система теплоснабжения н.п. Титан</v>
      </c>
      <c r="I25" s="1361"/>
      <c r="J25" s="1361"/>
      <c r="K25" s="1361"/>
      <c r="L25" s="1361"/>
      <c r="M25" s="1361"/>
      <c r="N25" s="1361"/>
      <c r="O25" s="1361"/>
      <c r="P25" s="1361"/>
      <c r="Q25" s="1361"/>
      <c r="R25" s="1361"/>
      <c r="S25" s="407"/>
      <c r="T25" s="405"/>
      <c r="U25" s="102"/>
      <c r="V25" s="102"/>
      <c r="W25" s="62"/>
      <c r="X25" s="62"/>
      <c r="Y25" s="62"/>
      <c r="Z25" s="62"/>
      <c r="AA25" s="102"/>
      <c r="AB25" s="62"/>
      <c r="AC25" s="1353"/>
      <c r="AD25" s="62"/>
      <c r="AE25" s="350"/>
      <c r="AF25" s="350"/>
      <c r="AG25" s="351"/>
      <c r="AH25" s="35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62"/>
      <c r="BW25" s="62"/>
      <c r="BX25" s="62"/>
      <c r="BY25" s="62"/>
      <c r="BZ25" s="62"/>
      <c r="CA25" s="62"/>
      <c r="CB25" s="62"/>
      <c r="CC25" s="62"/>
      <c r="CD25" s="62"/>
      <c r="CE25" s="62"/>
    </row>
    <row r="26" spans="1:83" ht="24.75" hidden="1" customHeight="1">
      <c r="A26" s="299"/>
      <c r="B26" s="63"/>
      <c r="C26" s="233"/>
      <c r="D26" s="1364"/>
      <c r="E26" s="1354" t="s">
        <v>610</v>
      </c>
      <c r="F26" s="1354"/>
      <c r="G26" s="1354"/>
      <c r="H26" s="1354"/>
      <c r="I26" s="1354"/>
      <c r="J26" s="1354"/>
      <c r="K26" s="1354"/>
      <c r="L26" s="1354"/>
      <c r="M26" s="1354"/>
      <c r="N26" s="1354"/>
      <c r="O26" s="1354"/>
      <c r="P26" s="1354"/>
      <c r="Q26" s="320">
        <f>SUMIF(T27:T28,"i",Q27:Q28)</f>
        <v>0</v>
      </c>
      <c r="R26" s="584"/>
      <c r="S26" s="151" t="s">
        <v>611</v>
      </c>
      <c r="T26" s="405" t="s">
        <v>612</v>
      </c>
      <c r="U26" s="1264">
        <v>1</v>
      </c>
      <c r="V26" s="1264" t="str">
        <f>INDEX(B_FHD_FLAG_INDEX_1,1,MATCH(A23,B_FHD_FLAG_DIFFERENTIATION,0))</f>
        <v>отсутствует</v>
      </c>
      <c r="W26" s="63"/>
      <c r="X26" s="63"/>
      <c r="Y26" s="63"/>
      <c r="Z26" s="63"/>
      <c r="AA26" s="68"/>
      <c r="AB26" s="63"/>
      <c r="AC26" s="1353"/>
      <c r="AD26" s="62"/>
      <c r="AE26" s="63"/>
      <c r="AF26" s="63"/>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3"/>
      <c r="BW26" s="63"/>
      <c r="BX26" s="63"/>
      <c r="BY26" s="63"/>
      <c r="BZ26" s="63"/>
      <c r="CA26" s="63"/>
      <c r="CB26" s="63"/>
      <c r="CC26" s="63"/>
      <c r="CD26" s="63"/>
      <c r="CE26" s="63"/>
    </row>
    <row r="27" spans="1:83" ht="11.25" hidden="1" customHeight="1">
      <c r="A27" s="120"/>
      <c r="B27" s="68"/>
      <c r="C27" s="68"/>
      <c r="D27" s="1364"/>
      <c r="E27" s="353"/>
      <c r="F27" s="353">
        <v>0</v>
      </c>
      <c r="G27" s="353"/>
      <c r="H27" s="353"/>
      <c r="I27" s="353"/>
      <c r="J27" s="353"/>
      <c r="K27" s="353"/>
      <c r="L27" s="353"/>
      <c r="M27" s="353"/>
      <c r="N27" s="353"/>
      <c r="O27" s="353"/>
      <c r="P27" s="353"/>
      <c r="Q27" s="353"/>
      <c r="R27" s="353"/>
      <c r="S27" s="315"/>
      <c r="T27" s="406"/>
      <c r="U27" s="1264"/>
      <c r="V27" s="1264"/>
      <c r="W27" s="68"/>
      <c r="X27" s="68"/>
      <c r="Y27" s="68"/>
      <c r="Z27" s="68"/>
      <c r="AA27" s="68"/>
      <c r="AB27" s="63"/>
      <c r="AC27" s="1353"/>
      <c r="AD27" s="62"/>
      <c r="AE27" s="63"/>
      <c r="AF27" s="63"/>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row>
    <row r="28" spans="1:83" ht="11.25" hidden="1" customHeight="1">
      <c r="A28" s="299"/>
      <c r="B28" s="63"/>
      <c r="C28" s="233"/>
      <c r="D28" s="1364"/>
      <c r="E28" s="182" t="s">
        <v>18</v>
      </c>
      <c r="F28" s="108" t="s">
        <v>18</v>
      </c>
      <c r="G28" s="108" t="s">
        <v>615</v>
      </c>
      <c r="H28" s="53" t="s">
        <v>18</v>
      </c>
      <c r="I28" s="53"/>
      <c r="J28" s="53"/>
      <c r="K28" s="53"/>
      <c r="L28" s="53"/>
      <c r="M28" s="53"/>
      <c r="N28" s="53"/>
      <c r="O28" s="53"/>
      <c r="P28" s="53"/>
      <c r="Q28" s="53"/>
      <c r="R28" s="344"/>
      <c r="S28" s="362"/>
      <c r="T28" s="406"/>
      <c r="U28" s="1264"/>
      <c r="V28" s="1264"/>
      <c r="W28" s="63"/>
      <c r="X28" s="63"/>
      <c r="Y28" s="63"/>
      <c r="Z28" s="63"/>
      <c r="AA28" s="68"/>
      <c r="AB28" s="63"/>
      <c r="AC28" s="1353"/>
      <c r="AD28" s="62"/>
      <c r="AE28" s="63"/>
      <c r="AF28" s="63"/>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3"/>
      <c r="BW28" s="63"/>
      <c r="BX28" s="63"/>
      <c r="BY28" s="63"/>
      <c r="BZ28" s="63"/>
      <c r="CA28" s="63"/>
      <c r="CB28" s="63"/>
      <c r="CC28" s="63"/>
      <c r="CD28" s="63"/>
      <c r="CE28" s="63"/>
    </row>
    <row r="29" spans="1:83" ht="5.25" hidden="1" customHeight="1">
      <c r="A29" s="120"/>
      <c r="B29" s="68"/>
      <c r="C29" s="68"/>
      <c r="D29" s="1364"/>
      <c r="E29" s="599"/>
      <c r="F29" s="599"/>
      <c r="G29" s="599"/>
      <c r="H29" s="599"/>
      <c r="I29" s="599"/>
      <c r="J29" s="599"/>
      <c r="K29" s="599"/>
      <c r="L29" s="599"/>
      <c r="M29" s="599"/>
      <c r="N29" s="599"/>
      <c r="O29" s="599"/>
      <c r="P29" s="599"/>
      <c r="Q29" s="600"/>
      <c r="R29" s="601"/>
      <c r="S29" s="353"/>
      <c r="T29" s="405" t="s">
        <v>612</v>
      </c>
      <c r="U29" s="1264">
        <v>1</v>
      </c>
      <c r="V29" s="1264" t="s">
        <v>574</v>
      </c>
      <c r="W29" s="68"/>
      <c r="X29" s="68"/>
      <c r="Y29" s="68"/>
      <c r="Z29" s="68"/>
      <c r="AA29" s="68"/>
      <c r="AB29" s="68"/>
      <c r="AC29" s="598"/>
      <c r="AD29" s="102"/>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row>
    <row r="30" spans="1:83" ht="5.25" hidden="1" customHeight="1">
      <c r="A30" s="120"/>
      <c r="B30" s="68"/>
      <c r="C30" s="68"/>
      <c r="D30" s="1364"/>
      <c r="E30" s="353"/>
      <c r="F30" s="353"/>
      <c r="G30" s="353"/>
      <c r="H30" s="353"/>
      <c r="I30" s="353"/>
      <c r="J30" s="353"/>
      <c r="K30" s="353"/>
      <c r="L30" s="353"/>
      <c r="M30" s="353"/>
      <c r="N30" s="353"/>
      <c r="O30" s="353"/>
      <c r="P30" s="353"/>
      <c r="Q30" s="353"/>
      <c r="R30" s="353"/>
      <c r="S30" s="315"/>
      <c r="T30" s="406"/>
      <c r="U30" s="1264"/>
      <c r="V30" s="1264"/>
      <c r="W30" s="68"/>
      <c r="X30" s="68"/>
      <c r="Y30" s="68"/>
      <c r="Z30" s="68"/>
      <c r="AA30" s="68"/>
      <c r="AB30" s="68"/>
      <c r="AC30" s="598"/>
      <c r="AD30" s="102"/>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row>
    <row r="31" spans="1:83" ht="5.25" hidden="1" customHeight="1">
      <c r="A31" s="120"/>
      <c r="B31" s="68"/>
      <c r="C31" s="68"/>
      <c r="D31" s="1365"/>
      <c r="E31" s="602"/>
      <c r="F31" s="603"/>
      <c r="G31" s="603"/>
      <c r="H31" s="604"/>
      <c r="I31" s="604"/>
      <c r="J31" s="604"/>
      <c r="K31" s="604"/>
      <c r="L31" s="604"/>
      <c r="M31" s="604"/>
      <c r="N31" s="604"/>
      <c r="O31" s="604"/>
      <c r="P31" s="604"/>
      <c r="Q31" s="604"/>
      <c r="R31" s="535"/>
      <c r="S31" s="605"/>
      <c r="T31" s="406"/>
      <c r="U31" s="1264"/>
      <c r="V31" s="1264"/>
      <c r="W31" s="68"/>
      <c r="X31" s="68"/>
      <c r="Y31" s="68"/>
      <c r="Z31" s="68"/>
      <c r="AA31" s="68"/>
      <c r="AB31" s="68"/>
      <c r="AC31" s="598"/>
      <c r="AD31" s="102"/>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row>
    <row r="32" spans="1:83" ht="18.75" customHeight="1">
      <c r="D32" s="606"/>
      <c r="E32" s="606"/>
      <c r="F32" s="606"/>
      <c r="G32" s="606"/>
      <c r="H32" s="606"/>
      <c r="I32" s="606"/>
      <c r="J32" s="606"/>
      <c r="K32" s="606"/>
      <c r="L32" s="606"/>
      <c r="M32" s="606"/>
      <c r="N32" s="606"/>
      <c r="O32" s="606"/>
      <c r="P32" s="606"/>
      <c r="Q32" s="606"/>
      <c r="R32" s="606"/>
      <c r="S32" s="606"/>
      <c r="T32" s="194"/>
    </row>
    <row r="34" spans="4:18" ht="11.25" customHeight="1">
      <c r="D34" s="77"/>
      <c r="E34" s="77"/>
      <c r="F34" s="77"/>
      <c r="G34" s="36"/>
    </row>
    <row r="36" spans="4:18" ht="11.25" customHeight="1">
      <c r="D36" s="363"/>
      <c r="E36" s="1362"/>
      <c r="F36" s="1362"/>
      <c r="G36" s="1362"/>
      <c r="H36" s="1362"/>
      <c r="I36" s="1362"/>
      <c r="J36" s="1362"/>
      <c r="K36" s="1362"/>
      <c r="L36" s="1362"/>
      <c r="M36" s="1362"/>
      <c r="N36" s="1362"/>
      <c r="O36" s="1362"/>
      <c r="P36" s="1362"/>
      <c r="Q36" s="1362"/>
      <c r="R36" s="1362"/>
    </row>
  </sheetData>
  <sheetProtection formatColumns="0" formatRows="0" insertRows="0" deleteColumns="0" deleteRows="0" sort="0" autoFilter="0"/>
  <mergeCells count="35">
    <mergeCell ref="AC23:AC28"/>
    <mergeCell ref="E24:G24"/>
    <mergeCell ref="U29:U31"/>
    <mergeCell ref="V29:V31"/>
    <mergeCell ref="U26:U28"/>
    <mergeCell ref="V26:V28"/>
    <mergeCell ref="E23:G23"/>
    <mergeCell ref="H23:R23"/>
    <mergeCell ref="E5:K5"/>
    <mergeCell ref="E6:K6"/>
    <mergeCell ref="E9:R9"/>
    <mergeCell ref="S9:S10"/>
    <mergeCell ref="E10:F10"/>
    <mergeCell ref="H10:I10"/>
    <mergeCell ref="L10:M10"/>
    <mergeCell ref="D14:D22"/>
    <mergeCell ref="H14:R14"/>
    <mergeCell ref="H15:R15"/>
    <mergeCell ref="H16:R16"/>
    <mergeCell ref="E36:R36"/>
    <mergeCell ref="E20:P20"/>
    <mergeCell ref="H24:R24"/>
    <mergeCell ref="E25:G25"/>
    <mergeCell ref="H25:R25"/>
    <mergeCell ref="E26:P26"/>
    <mergeCell ref="D23:D31"/>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64B0B-6095-AE9B-B09E-BA7B1A2361B3}">
  <sheetPr>
    <tabColor theme="9" tint="-0.249977111117893"/>
  </sheetPr>
  <dimension ref="A1:AE218"/>
  <sheetViews>
    <sheetView showGridLines="0" topLeftCell="D5" zoomScale="90" workbookViewId="0"/>
  </sheetViews>
  <sheetFormatPr defaultColWidth="9.140625" defaultRowHeight="11.25" customHeight="1"/>
  <cols>
    <col min="1" max="1" width="10.7109375" style="564" hidden="1" customWidth="1"/>
    <col min="2" max="2" width="16.85546875" style="63" hidden="1" customWidth="1"/>
    <col min="3" max="3" width="5.5703125" style="68" hidden="1" customWidth="1"/>
    <col min="4" max="4" width="3.7109375" style="12" customWidth="1"/>
    <col min="5" max="5" width="7.7109375" style="12" customWidth="1"/>
    <col min="6" max="6" width="56.140625" style="12" customWidth="1"/>
    <col min="7" max="7" width="10.42578125" style="12" customWidth="1"/>
    <col min="8" max="8" width="40.7109375" style="12" hidden="1" customWidth="1"/>
    <col min="9" max="9" width="40.7109375" style="12" customWidth="1"/>
    <col min="10" max="10" width="102.85546875" style="12" customWidth="1"/>
    <col min="11" max="11" width="9.7109375" style="63" customWidth="1"/>
    <col min="12" max="12" width="5.28515625" style="68" customWidth="1"/>
    <col min="13" max="13" width="3.7109375" style="68" customWidth="1"/>
    <col min="14" max="17" width="3.7109375" style="63" customWidth="1"/>
    <col min="18" max="18" width="10.5703125" style="68" customWidth="1"/>
    <col min="19" max="19" width="34.7109375" style="63" customWidth="1"/>
    <col min="20" max="20" width="9.42578125" style="63" customWidth="1"/>
    <col min="21" max="21" width="9.140625" style="307"/>
    <col min="22" max="26" width="9.140625" style="63"/>
    <col min="27" max="31" width="9.140625" style="9"/>
  </cols>
  <sheetData>
    <row r="1" spans="1:31" s="63" customFormat="1" ht="11.25" hidden="1" customHeight="1">
      <c r="A1" s="564"/>
      <c r="C1" s="68"/>
      <c r="H1" s="63">
        <v>4</v>
      </c>
      <c r="I1" s="63">
        <v>4</v>
      </c>
      <c r="L1" s="68"/>
      <c r="M1" s="68"/>
      <c r="R1" s="68"/>
    </row>
    <row r="2" spans="1:31" s="63" customFormat="1" ht="22.5" hidden="1" customHeight="1">
      <c r="A2" s="564"/>
      <c r="C2" s="68"/>
      <c r="D2" s="302"/>
      <c r="E2" s="42"/>
      <c r="F2" s="303"/>
      <c r="G2" s="42" t="s">
        <v>551</v>
      </c>
      <c r="H2" s="304"/>
      <c r="I2" s="304"/>
      <c r="J2" s="305" t="s">
        <v>616</v>
      </c>
      <c r="K2" s="306"/>
      <c r="L2" s="68"/>
      <c r="M2" s="68"/>
      <c r="R2" s="68"/>
      <c r="U2" s="307"/>
      <c r="AA2" s="9"/>
      <c r="AB2" s="9"/>
      <c r="AC2" s="9"/>
      <c r="AD2" s="9"/>
      <c r="AE2" s="9"/>
    </row>
    <row r="3" spans="1:31" ht="11.25" hidden="1" customHeight="1"/>
    <row r="4" spans="1:31" s="9" customFormat="1" ht="11.25" hidden="1" customHeight="1">
      <c r="A4" s="564"/>
      <c r="B4" s="63"/>
      <c r="C4" s="68"/>
      <c r="J4" s="9">
        <v>4</v>
      </c>
      <c r="K4" s="63"/>
      <c r="L4" s="68"/>
      <c r="M4" s="68"/>
      <c r="N4" s="63"/>
      <c r="O4" s="63"/>
      <c r="P4" s="63"/>
      <c r="Q4" s="63"/>
      <c r="R4" s="68"/>
      <c r="S4" s="63"/>
      <c r="T4" s="63"/>
      <c r="U4" s="307"/>
      <c r="V4" s="63"/>
      <c r="W4" s="63"/>
      <c r="X4" s="63"/>
      <c r="Y4" s="63"/>
      <c r="Z4" s="63"/>
    </row>
    <row r="6" spans="1:31" ht="22.5" customHeight="1">
      <c r="E6" s="1209" t="s">
        <v>617</v>
      </c>
      <c r="F6" s="1209"/>
      <c r="G6" s="1209"/>
      <c r="H6" s="1209"/>
      <c r="I6" s="1209"/>
      <c r="J6" s="60"/>
    </row>
    <row r="7" spans="1:31" ht="24" customHeight="1">
      <c r="E7" s="1194" t="str">
        <f>IF(org=0,"Не определено",org)</f>
        <v>АО "ХТК"</v>
      </c>
      <c r="F7" s="1194"/>
      <c r="G7" s="1194"/>
      <c r="H7" s="1194"/>
      <c r="I7" s="1194"/>
    </row>
    <row r="8" spans="1:31" ht="11.25" customHeight="1">
      <c r="E8" s="657"/>
      <c r="F8" s="657"/>
      <c r="G8" s="657"/>
      <c r="H8" s="657"/>
      <c r="I8" s="657"/>
    </row>
    <row r="9" spans="1:31" s="68" customFormat="1" ht="0.75" customHeight="1">
      <c r="A9" s="311"/>
      <c r="H9" s="505"/>
      <c r="I9" s="505" t="s">
        <v>114</v>
      </c>
    </row>
    <row r="10" spans="1:31" ht="11.25" customHeight="1">
      <c r="E10" s="400"/>
      <c r="F10" s="1347" t="s">
        <v>101</v>
      </c>
      <c r="G10" s="1348"/>
      <c r="H10" s="848" t="str">
        <f>IF(H9="","",INDEX(DIFFERENTIATION_UNMERGE_VD,MATCH(H9,DIFFERENTIATION_ID_DIFF,0)))</f>
        <v/>
      </c>
      <c r="I10" s="848" t="str">
        <f>IF(I9="","",INDEX(DIFFERENTIATION_UNMERGE_VD,MATCH(I9,DIFFERENTIATION_ID_DIFF,0)))</f>
        <v>Передача. Тепловая энергия</v>
      </c>
      <c r="J10" s="1146"/>
    </row>
    <row r="11" spans="1:31" ht="11.25" customHeight="1">
      <c r="E11" s="400"/>
      <c r="F11" s="1347" t="s">
        <v>563</v>
      </c>
      <c r="G11" s="1348"/>
      <c r="H11" s="848" t="str">
        <f>IF(H9="","",INDEX(DIFFERENTIATION_UNMERGE_AREA,MATCH(H9,DIFFERENTIATION_ID_DIFF,0)))</f>
        <v/>
      </c>
      <c r="I11" s="848" t="str">
        <f>IF(I9="","",INDEX(DIFFERENTIATION_UNMERGE_AREA,MATCH(I9,DIFFERENTIATION_ID_DIFF,0)))</f>
        <v>Территория 1</v>
      </c>
      <c r="J11" s="1146"/>
    </row>
    <row r="12" spans="1:31" ht="11.25" hidden="1" customHeight="1">
      <c r="E12" s="886"/>
      <c r="F12" s="1366" t="s">
        <v>564</v>
      </c>
      <c r="G12" s="1367"/>
      <c r="H12" s="887" t="str">
        <f>IF(H9="","",INDEX(DIFFERENTIATION_UNMERGE_SYSTEM,MATCH(H9,DIFFERENTIATION_ID_DIFF,0)))</f>
        <v/>
      </c>
      <c r="I12" s="887" t="str">
        <f>IF(I9="","",INDEX(DIFFERENTIATION_UNMERGE_SYSTEM,MATCH(I9,DIFFERENTIATION_ID_DIFF,0)))</f>
        <v>система теплоснабжения г. Кировск</v>
      </c>
      <c r="J12" s="1146"/>
    </row>
    <row r="13" spans="1:31" ht="11.25" customHeight="1">
      <c r="E13" s="1349" t="s">
        <v>299</v>
      </c>
      <c r="F13" s="1350"/>
      <c r="G13" s="1350"/>
      <c r="H13" s="503"/>
      <c r="I13" s="503"/>
      <c r="J13" s="1146"/>
    </row>
    <row r="14" spans="1:31" ht="22.5" customHeight="1">
      <c r="E14" s="42" t="s">
        <v>84</v>
      </c>
      <c r="F14" s="42" t="s">
        <v>301</v>
      </c>
      <c r="G14" s="42" t="s">
        <v>565</v>
      </c>
      <c r="H14" s="42" t="s">
        <v>302</v>
      </c>
      <c r="I14" s="42" t="s">
        <v>302</v>
      </c>
      <c r="J14" s="1146"/>
    </row>
    <row r="15" spans="1:31" ht="18.75" customHeight="1">
      <c r="D15" s="56"/>
      <c r="E15" s="884" t="s">
        <v>105</v>
      </c>
      <c r="F15" s="151" t="s">
        <v>618</v>
      </c>
      <c r="G15" s="42" t="s">
        <v>551</v>
      </c>
      <c r="H15" s="319"/>
      <c r="I15" s="319"/>
      <c r="J15" s="67" t="s">
        <v>619</v>
      </c>
      <c r="K15" s="306" t="s">
        <v>620</v>
      </c>
    </row>
    <row r="16" spans="1:31" ht="33.75" customHeight="1">
      <c r="D16" s="56"/>
      <c r="E16" s="884" t="s">
        <v>106</v>
      </c>
      <c r="F16" s="151" t="s">
        <v>621</v>
      </c>
      <c r="G16" s="42" t="s">
        <v>551</v>
      </c>
      <c r="H16" s="320">
        <f>SUM(H17,H20:H32)</f>
        <v>0</v>
      </c>
      <c r="I16" s="320">
        <f>SUM(I17,I20:I32)</f>
        <v>0</v>
      </c>
      <c r="J16" s="67" t="s">
        <v>622</v>
      </c>
      <c r="K16" s="306" t="s">
        <v>620</v>
      </c>
    </row>
    <row r="17" spans="1:31" ht="18.75" customHeight="1">
      <c r="D17" s="56"/>
      <c r="E17" s="888" t="s">
        <v>623</v>
      </c>
      <c r="F17" s="321" t="s">
        <v>624</v>
      </c>
      <c r="G17" s="386" t="s">
        <v>551</v>
      </c>
      <c r="H17" s="319"/>
      <c r="I17" s="319"/>
      <c r="J17" s="67" t="s">
        <v>625</v>
      </c>
      <c r="K17" s="306"/>
    </row>
    <row r="18" spans="1:31" ht="22.5" customHeight="1">
      <c r="D18" s="56"/>
      <c r="E18" s="888" t="s">
        <v>626</v>
      </c>
      <c r="F18" s="330" t="s">
        <v>627</v>
      </c>
      <c r="G18" s="386" t="s">
        <v>551</v>
      </c>
      <c r="H18" s="319"/>
      <c r="I18" s="319"/>
      <c r="J18" s="67" t="s">
        <v>628</v>
      </c>
      <c r="K18" s="306"/>
    </row>
    <row r="19" spans="1:31" ht="33.75" customHeight="1">
      <c r="D19" s="56"/>
      <c r="E19" s="888" t="s">
        <v>629</v>
      </c>
      <c r="F19" s="330" t="s">
        <v>630</v>
      </c>
      <c r="G19" s="386" t="s">
        <v>551</v>
      </c>
      <c r="H19" s="319"/>
      <c r="I19" s="319"/>
      <c r="J19" s="67"/>
      <c r="K19" s="306"/>
    </row>
    <row r="20" spans="1:31" ht="18.75" customHeight="1">
      <c r="D20" s="56"/>
      <c r="E20" s="888" t="s">
        <v>306</v>
      </c>
      <c r="F20" s="321" t="s">
        <v>631</v>
      </c>
      <c r="G20" s="386" t="s">
        <v>551</v>
      </c>
      <c r="H20" s="319"/>
      <c r="I20" s="319"/>
      <c r="J20" s="67" t="s">
        <v>632</v>
      </c>
      <c r="K20" s="306"/>
    </row>
    <row r="21" spans="1:31" ht="18.75" customHeight="1">
      <c r="D21" s="56"/>
      <c r="E21" s="888" t="s">
        <v>633</v>
      </c>
      <c r="F21" s="330" t="s">
        <v>634</v>
      </c>
      <c r="G21" s="386" t="s">
        <v>551</v>
      </c>
      <c r="H21" s="319"/>
      <c r="I21" s="319"/>
      <c r="J21" s="67"/>
      <c r="K21" s="306"/>
    </row>
    <row r="22" spans="1:31" ht="18.75" customHeight="1">
      <c r="D22" s="56"/>
      <c r="E22" s="888" t="s">
        <v>635</v>
      </c>
      <c r="F22" s="330" t="s">
        <v>636</v>
      </c>
      <c r="G22" s="386" t="s">
        <v>551</v>
      </c>
      <c r="H22" s="319"/>
      <c r="I22" s="319"/>
      <c r="J22" s="67"/>
      <c r="K22" s="306"/>
    </row>
    <row r="23" spans="1:31" ht="22.5" customHeight="1">
      <c r="D23" s="56"/>
      <c r="E23" s="888" t="s">
        <v>309</v>
      </c>
      <c r="F23" s="321" t="s">
        <v>637</v>
      </c>
      <c r="G23" s="386" t="s">
        <v>551</v>
      </c>
      <c r="H23" s="319"/>
      <c r="I23" s="319"/>
      <c r="J23" s="67" t="s">
        <v>638</v>
      </c>
      <c r="K23" s="306"/>
    </row>
    <row r="24" spans="1:31" ht="18.75" customHeight="1">
      <c r="D24" s="56"/>
      <c r="E24" s="888" t="s">
        <v>639</v>
      </c>
      <c r="F24" s="330" t="s">
        <v>640</v>
      </c>
      <c r="G24" s="386" t="s">
        <v>551</v>
      </c>
      <c r="H24" s="319"/>
      <c r="I24" s="319"/>
      <c r="J24" s="67"/>
      <c r="K24" s="306"/>
    </row>
    <row r="25" spans="1:31" ht="33.75" customHeight="1">
      <c r="D25" s="56"/>
      <c r="E25" s="888" t="s">
        <v>641</v>
      </c>
      <c r="F25" s="330" t="s">
        <v>642</v>
      </c>
      <c r="G25" s="386" t="s">
        <v>551</v>
      </c>
      <c r="H25" s="319"/>
      <c r="I25" s="319"/>
      <c r="J25" s="67"/>
      <c r="K25" s="306"/>
    </row>
    <row r="26" spans="1:31" ht="22.5" customHeight="1">
      <c r="D26" s="56"/>
      <c r="E26" s="888" t="s">
        <v>643</v>
      </c>
      <c r="F26" s="321" t="s">
        <v>644</v>
      </c>
      <c r="G26" s="386" t="s">
        <v>551</v>
      </c>
      <c r="H26" s="319"/>
      <c r="I26" s="319"/>
      <c r="J26" s="67" t="s">
        <v>645</v>
      </c>
      <c r="K26" s="306"/>
    </row>
    <row r="27" spans="1:31" ht="18.75" customHeight="1">
      <c r="D27" s="56"/>
      <c r="E27" s="890" t="s">
        <v>646</v>
      </c>
      <c r="F27" s="330" t="s">
        <v>647</v>
      </c>
      <c r="G27" s="386" t="s">
        <v>551</v>
      </c>
      <c r="H27" s="891"/>
      <c r="I27" s="891"/>
      <c r="J27" s="67"/>
      <c r="K27" s="306"/>
    </row>
    <row r="28" spans="1:31" ht="18.75" customHeight="1">
      <c r="D28" s="56"/>
      <c r="E28" s="890" t="s">
        <v>648</v>
      </c>
      <c r="F28" s="330" t="s">
        <v>649</v>
      </c>
      <c r="G28" s="386" t="s">
        <v>551</v>
      </c>
      <c r="H28" s="891"/>
      <c r="I28" s="891"/>
      <c r="J28" s="67"/>
      <c r="K28" s="306"/>
    </row>
    <row r="29" spans="1:31" ht="18.75" customHeight="1">
      <c r="D29" s="56"/>
      <c r="E29" s="890" t="s">
        <v>650</v>
      </c>
      <c r="F29" s="321" t="s">
        <v>651</v>
      </c>
      <c r="G29" s="386" t="s">
        <v>551</v>
      </c>
      <c r="H29" s="891"/>
      <c r="I29" s="891"/>
      <c r="J29" s="67"/>
      <c r="K29" s="306"/>
    </row>
    <row r="30" spans="1:31" ht="18.75" customHeight="1">
      <c r="D30" s="56"/>
      <c r="E30" s="890" t="s">
        <v>652</v>
      </c>
      <c r="F30" s="321" t="s">
        <v>653</v>
      </c>
      <c r="G30" s="386" t="s">
        <v>551</v>
      </c>
      <c r="H30" s="891"/>
      <c r="I30" s="891"/>
      <c r="J30" s="67"/>
      <c r="K30" s="306"/>
    </row>
    <row r="31" spans="1:31" ht="18.75" customHeight="1">
      <c r="D31" s="56"/>
      <c r="E31" s="890" t="s">
        <v>654</v>
      </c>
      <c r="F31" s="321" t="s">
        <v>655</v>
      </c>
      <c r="G31" s="386" t="s">
        <v>551</v>
      </c>
      <c r="H31" s="891"/>
      <c r="I31" s="891"/>
      <c r="J31" s="67"/>
      <c r="K31" s="306"/>
    </row>
    <row r="32" spans="1:31" s="63" customFormat="1" ht="22.5" customHeight="1">
      <c r="A32" s="564"/>
      <c r="C32" s="68"/>
      <c r="D32" s="56"/>
      <c r="E32" s="890" t="s">
        <v>656</v>
      </c>
      <c r="F32" s="321" t="s">
        <v>657</v>
      </c>
      <c r="G32" s="332" t="s">
        <v>551</v>
      </c>
      <c r="H32" s="333">
        <f>SUM(H33:H34)</f>
        <v>0</v>
      </c>
      <c r="I32" s="333">
        <f>SUM(I33:I34)</f>
        <v>0</v>
      </c>
      <c r="J32" s="67" t="s">
        <v>658</v>
      </c>
      <c r="K32" s="306"/>
      <c r="L32" s="68"/>
      <c r="M32" s="68"/>
      <c r="R32" s="68"/>
      <c r="U32" s="307"/>
      <c r="AA32" s="9"/>
      <c r="AB32" s="9"/>
      <c r="AC32" s="9"/>
      <c r="AD32" s="9"/>
      <c r="AE32" s="9"/>
    </row>
    <row r="33" spans="1:31" s="68" customFormat="1" ht="0.75" customHeight="1">
      <c r="A33" s="311"/>
      <c r="D33" s="311"/>
      <c r="E33" s="314" t="str">
        <f>E32&amp;".0"</f>
        <v>2.8.0</v>
      </c>
      <c r="F33" s="568"/>
      <c r="G33" s="314"/>
      <c r="H33" s="569"/>
      <c r="I33" s="569"/>
      <c r="J33" s="570"/>
    </row>
    <row r="34" spans="1:31" s="63" customFormat="1" ht="18.75" customHeight="1">
      <c r="A34" s="564"/>
      <c r="C34" s="68"/>
      <c r="D34" s="76"/>
      <c r="E34" s="325"/>
      <c r="F34" s="889" t="s">
        <v>576</v>
      </c>
      <c r="G34" s="326"/>
      <c r="H34" s="327"/>
      <c r="I34" s="327"/>
      <c r="J34" s="170" t="s">
        <v>659</v>
      </c>
      <c r="K34" s="306"/>
      <c r="L34" s="68"/>
      <c r="M34" s="68"/>
      <c r="R34" s="68"/>
      <c r="U34" s="307"/>
      <c r="AA34" s="9"/>
      <c r="AB34" s="9"/>
      <c r="AC34" s="9"/>
      <c r="AD34" s="9"/>
      <c r="AE34" s="9"/>
    </row>
    <row r="35" spans="1:31" ht="56.25" customHeight="1">
      <c r="D35" s="56"/>
      <c r="E35" s="890" t="s">
        <v>660</v>
      </c>
      <c r="F35" s="321" t="s">
        <v>661</v>
      </c>
      <c r="G35" s="386" t="s">
        <v>551</v>
      </c>
      <c r="H35" s="891"/>
      <c r="I35" s="891"/>
      <c r="J35" s="67" t="s">
        <v>662</v>
      </c>
      <c r="K35" s="306"/>
    </row>
    <row r="36" spans="1:31" s="63" customFormat="1" ht="22.5" customHeight="1">
      <c r="A36" s="566" t="s">
        <v>577</v>
      </c>
      <c r="C36" s="68"/>
      <c r="D36" s="56"/>
      <c r="E36" s="888" t="s">
        <v>86</v>
      </c>
      <c r="F36" s="151" t="s">
        <v>663</v>
      </c>
      <c r="G36" s="386" t="s">
        <v>551</v>
      </c>
      <c r="H36" s="319"/>
      <c r="I36" s="319"/>
      <c r="J36" s="67" t="s">
        <v>664</v>
      </c>
      <c r="K36" s="306"/>
      <c r="L36" s="68"/>
      <c r="M36" s="68"/>
      <c r="R36" s="68"/>
      <c r="U36" s="307"/>
      <c r="AA36" s="9"/>
      <c r="AB36" s="9"/>
      <c r="AC36" s="9"/>
      <c r="AD36" s="9"/>
      <c r="AE36" s="9"/>
    </row>
    <row r="37" spans="1:31" s="63" customFormat="1" ht="22.5" customHeight="1">
      <c r="A37" s="566"/>
      <c r="C37" s="68"/>
      <c r="D37" s="56"/>
      <c r="E37" s="888" t="s">
        <v>323</v>
      </c>
      <c r="F37" s="321" t="s">
        <v>665</v>
      </c>
      <c r="G37" s="386"/>
      <c r="H37" s="319"/>
      <c r="I37" s="319"/>
      <c r="J37" s="67"/>
      <c r="K37" s="306"/>
      <c r="L37" s="68"/>
      <c r="M37" s="68"/>
      <c r="R37" s="68"/>
      <c r="U37" s="307"/>
      <c r="AA37" s="9"/>
      <c r="AB37" s="9"/>
      <c r="AC37" s="9"/>
      <c r="AD37" s="9"/>
      <c r="AE37" s="9"/>
    </row>
    <row r="38" spans="1:31" s="63" customFormat="1" ht="18.75" customHeight="1">
      <c r="A38" s="564"/>
      <c r="C38" s="68"/>
      <c r="D38" s="329"/>
      <c r="E38" s="888" t="s">
        <v>87</v>
      </c>
      <c r="F38" s="151" t="s">
        <v>666</v>
      </c>
      <c r="G38" s="386" t="s">
        <v>551</v>
      </c>
      <c r="H38" s="319"/>
      <c r="I38" s="319"/>
      <c r="J38" s="67" t="s">
        <v>667</v>
      </c>
      <c r="K38" s="306"/>
      <c r="L38" s="68"/>
      <c r="M38" s="68"/>
      <c r="R38" s="68"/>
      <c r="U38" s="307"/>
      <c r="AA38" s="9"/>
      <c r="AB38" s="9"/>
      <c r="AC38" s="9"/>
      <c r="AD38" s="9"/>
      <c r="AE38" s="9"/>
    </row>
    <row r="39" spans="1:31" s="63" customFormat="1" ht="22.5" customHeight="1">
      <c r="A39" s="564"/>
      <c r="C39" s="68"/>
      <c r="D39" s="329"/>
      <c r="E39" s="888" t="s">
        <v>668</v>
      </c>
      <c r="F39" s="321" t="s">
        <v>669</v>
      </c>
      <c r="G39" s="386" t="s">
        <v>551</v>
      </c>
      <c r="H39" s="319"/>
      <c r="I39" s="319"/>
      <c r="J39" s="67" t="s">
        <v>670</v>
      </c>
      <c r="K39" s="306"/>
      <c r="L39" s="68"/>
      <c r="M39" s="68"/>
      <c r="R39" s="68"/>
      <c r="U39" s="307"/>
      <c r="AA39" s="9"/>
      <c r="AB39" s="9"/>
      <c r="AC39" s="9"/>
      <c r="AD39" s="9"/>
      <c r="AE39" s="9"/>
    </row>
    <row r="40" spans="1:31" s="63" customFormat="1" ht="22.5" customHeight="1">
      <c r="A40" s="564"/>
      <c r="C40" s="68"/>
      <c r="D40" s="56"/>
      <c r="E40" s="888" t="s">
        <v>671</v>
      </c>
      <c r="F40" s="330" t="s">
        <v>672</v>
      </c>
      <c r="G40" s="386" t="s">
        <v>551</v>
      </c>
      <c r="H40" s="319"/>
      <c r="I40" s="319"/>
      <c r="J40" s="67" t="s">
        <v>673</v>
      </c>
      <c r="K40" s="306"/>
      <c r="L40" s="68"/>
      <c r="M40" s="68"/>
      <c r="R40" s="68"/>
      <c r="U40" s="307"/>
      <c r="AA40" s="9"/>
      <c r="AB40" s="9"/>
      <c r="AC40" s="9"/>
      <c r="AD40" s="9"/>
      <c r="AE40" s="9"/>
    </row>
    <row r="41" spans="1:31" s="63" customFormat="1" ht="22.5" customHeight="1">
      <c r="A41" s="564"/>
      <c r="C41" s="68"/>
      <c r="D41" s="56"/>
      <c r="E41" s="888" t="s">
        <v>674</v>
      </c>
      <c r="F41" s="330" t="s">
        <v>675</v>
      </c>
      <c r="G41" s="386" t="s">
        <v>551</v>
      </c>
      <c r="H41" s="319"/>
      <c r="I41" s="319"/>
      <c r="J41" s="67" t="s">
        <v>676</v>
      </c>
      <c r="K41" s="306"/>
      <c r="L41" s="68"/>
      <c r="M41" s="68"/>
      <c r="R41" s="68"/>
      <c r="U41" s="307"/>
      <c r="AA41" s="9"/>
      <c r="AB41" s="9"/>
      <c r="AC41" s="9"/>
      <c r="AD41" s="9"/>
      <c r="AE41" s="9"/>
    </row>
    <row r="42" spans="1:31" s="63" customFormat="1" ht="22.5" customHeight="1">
      <c r="A42" s="564"/>
      <c r="C42" s="68"/>
      <c r="D42" s="56"/>
      <c r="E42" s="888" t="s">
        <v>677</v>
      </c>
      <c r="F42" s="330" t="s">
        <v>678</v>
      </c>
      <c r="G42" s="386" t="s">
        <v>551</v>
      </c>
      <c r="H42" s="319"/>
      <c r="I42" s="319"/>
      <c r="J42" s="67" t="s">
        <v>679</v>
      </c>
      <c r="K42" s="306"/>
      <c r="L42" s="68"/>
      <c r="M42" s="68"/>
      <c r="R42" s="68"/>
      <c r="U42" s="307"/>
      <c r="AA42" s="9"/>
      <c r="AB42" s="9"/>
      <c r="AC42" s="9"/>
      <c r="AD42" s="9"/>
      <c r="AE42" s="9"/>
    </row>
    <row r="43" spans="1:31" s="63" customFormat="1" ht="33.75" customHeight="1">
      <c r="A43" s="564"/>
      <c r="C43" s="68" t="s">
        <v>580</v>
      </c>
      <c r="D43" s="56"/>
      <c r="E43" s="888" t="s">
        <v>107</v>
      </c>
      <c r="F43" s="151" t="s">
        <v>680</v>
      </c>
      <c r="G43" s="42" t="s">
        <v>681</v>
      </c>
      <c r="H43" s="226"/>
      <c r="I43" s="226"/>
      <c r="J43" s="67" t="s">
        <v>682</v>
      </c>
      <c r="K43" s="306"/>
      <c r="L43" s="68"/>
      <c r="M43" s="68"/>
      <c r="R43" s="68"/>
      <c r="U43" s="307"/>
      <c r="AA43" s="9"/>
      <c r="AB43" s="9"/>
      <c r="AC43" s="9"/>
      <c r="AD43" s="9"/>
      <c r="AE43" s="9"/>
    </row>
    <row r="44" spans="1:31" s="63" customFormat="1" ht="22.5" customHeight="1">
      <c r="A44" s="564"/>
      <c r="C44" s="68"/>
      <c r="D44" s="56"/>
      <c r="E44" s="888" t="s">
        <v>88</v>
      </c>
      <c r="F44" s="151" t="s">
        <v>683</v>
      </c>
      <c r="G44" s="386" t="s">
        <v>684</v>
      </c>
      <c r="H44" s="308"/>
      <c r="I44" s="308"/>
      <c r="J44" s="67" t="s">
        <v>685</v>
      </c>
      <c r="K44" s="306"/>
      <c r="L44" s="68"/>
      <c r="M44" s="68"/>
      <c r="R44" s="68"/>
      <c r="U44" s="307"/>
      <c r="AA44" s="9"/>
      <c r="AB44" s="9"/>
      <c r="AC44" s="9"/>
      <c r="AD44" s="9"/>
      <c r="AE44" s="9"/>
    </row>
    <row r="45" spans="1:31" s="63" customFormat="1" ht="22.5" customHeight="1">
      <c r="A45" s="564"/>
      <c r="C45" s="68"/>
      <c r="D45" s="56"/>
      <c r="E45" s="888" t="s">
        <v>89</v>
      </c>
      <c r="F45" s="151" t="s">
        <v>686</v>
      </c>
      <c r="G45" s="386" t="s">
        <v>687</v>
      </c>
      <c r="H45" s="308"/>
      <c r="I45" s="308"/>
      <c r="J45" s="67" t="s">
        <v>688</v>
      </c>
      <c r="K45" s="306"/>
      <c r="L45" s="68"/>
      <c r="M45" s="68"/>
      <c r="R45" s="68"/>
      <c r="U45" s="307"/>
      <c r="AA45" s="9"/>
      <c r="AB45" s="9"/>
      <c r="AC45" s="9"/>
      <c r="AD45" s="9"/>
      <c r="AE45" s="9"/>
    </row>
    <row r="46" spans="1:31" s="63" customFormat="1" ht="18.75" customHeight="1">
      <c r="A46" s="564"/>
      <c r="C46" s="68"/>
      <c r="D46" s="56"/>
      <c r="E46" s="888" t="s">
        <v>108</v>
      </c>
      <c r="F46" s="151" t="s">
        <v>689</v>
      </c>
      <c r="G46" s="386" t="s">
        <v>590</v>
      </c>
      <c r="H46" s="331"/>
      <c r="I46" s="331"/>
      <c r="J46" s="67"/>
      <c r="K46" s="306"/>
      <c r="L46" s="68"/>
      <c r="M46" s="68"/>
      <c r="R46" s="68"/>
      <c r="U46" s="307"/>
      <c r="AA46" s="9"/>
      <c r="AB46" s="9"/>
      <c r="AC46" s="9"/>
      <c r="AD46" s="9"/>
      <c r="AE46" s="9"/>
    </row>
    <row r="47" spans="1:31" ht="11.25" customHeight="1">
      <c r="D47" s="56"/>
    </row>
    <row r="48" spans="1:31" ht="26.25" customHeight="1">
      <c r="D48" s="56"/>
      <c r="E48" s="196"/>
      <c r="F48" s="1285"/>
      <c r="G48" s="1285"/>
      <c r="H48" s="1285"/>
      <c r="I48" s="1285"/>
      <c r="J48" s="1285"/>
    </row>
    <row r="49" spans="1:31" s="201" customFormat="1" ht="37.5" customHeight="1">
      <c r="A49" s="564"/>
      <c r="B49" s="68"/>
      <c r="C49" s="68"/>
      <c r="F49" s="1285"/>
      <c r="G49" s="1285"/>
      <c r="H49" s="1285"/>
      <c r="I49" s="1285"/>
      <c r="J49" s="1285"/>
      <c r="K49" s="63"/>
      <c r="L49" s="68"/>
      <c r="M49" s="68"/>
      <c r="N49" s="63"/>
      <c r="O49" s="63"/>
      <c r="P49" s="63"/>
      <c r="Q49" s="63"/>
      <c r="R49" s="68"/>
      <c r="S49" s="63"/>
      <c r="T49" s="63"/>
      <c r="U49" s="307"/>
      <c r="V49" s="63"/>
      <c r="W49" s="63"/>
      <c r="X49" s="63"/>
      <c r="Y49" s="63"/>
      <c r="Z49" s="63"/>
      <c r="AA49" s="9"/>
      <c r="AB49" s="140"/>
      <c r="AC49" s="140"/>
      <c r="AD49" s="140"/>
      <c r="AE49" s="140"/>
    </row>
    <row r="50" spans="1:31" s="201" customFormat="1" ht="11.25" customHeight="1">
      <c r="A50" s="564"/>
      <c r="B50" s="68"/>
      <c r="C50" s="68"/>
      <c r="K50" s="63"/>
      <c r="L50" s="68"/>
      <c r="M50" s="68"/>
      <c r="N50" s="63"/>
      <c r="O50" s="63"/>
      <c r="P50" s="63"/>
      <c r="Q50" s="63"/>
      <c r="R50" s="68"/>
      <c r="S50" s="63"/>
      <c r="T50" s="63"/>
      <c r="U50" s="307"/>
      <c r="V50" s="63"/>
      <c r="W50" s="63"/>
      <c r="X50" s="63"/>
      <c r="Y50" s="63"/>
      <c r="Z50" s="63"/>
      <c r="AA50" s="9"/>
      <c r="AB50" s="140"/>
      <c r="AC50" s="140"/>
      <c r="AD50" s="140"/>
      <c r="AE50" s="140"/>
    </row>
    <row r="51" spans="1:31" s="201" customFormat="1" ht="11.25" customHeight="1">
      <c r="A51" s="564"/>
      <c r="B51" s="68"/>
      <c r="C51" s="68"/>
      <c r="K51" s="63"/>
      <c r="L51" s="68"/>
      <c r="M51" s="68"/>
      <c r="N51" s="63"/>
      <c r="O51" s="63"/>
      <c r="P51" s="63"/>
      <c r="Q51" s="63"/>
      <c r="R51" s="68"/>
      <c r="S51" s="63"/>
      <c r="T51" s="63"/>
      <c r="U51" s="307"/>
      <c r="V51" s="63"/>
      <c r="W51" s="63"/>
      <c r="X51" s="63"/>
      <c r="Y51" s="63"/>
      <c r="Z51" s="63"/>
      <c r="AA51" s="9"/>
      <c r="AB51" s="140"/>
      <c r="AC51" s="140"/>
      <c r="AD51" s="140"/>
      <c r="AE51" s="140"/>
    </row>
    <row r="52" spans="1:31" s="201" customFormat="1" ht="11.25" customHeight="1">
      <c r="A52" s="564"/>
      <c r="B52" s="68"/>
      <c r="C52" s="68"/>
      <c r="H52" s="140"/>
      <c r="I52" s="140"/>
      <c r="K52" s="63"/>
      <c r="L52" s="68"/>
      <c r="M52" s="68"/>
      <c r="N52" s="63"/>
      <c r="O52" s="63"/>
      <c r="P52" s="63"/>
      <c r="Q52" s="63"/>
      <c r="R52" s="68"/>
      <c r="S52" s="63"/>
      <c r="T52" s="63"/>
      <c r="U52" s="307"/>
      <c r="V52" s="63"/>
      <c r="W52" s="63"/>
      <c r="X52" s="63"/>
      <c r="Y52" s="63"/>
      <c r="Z52" s="63"/>
      <c r="AA52" s="9"/>
      <c r="AB52" s="140"/>
      <c r="AC52" s="140"/>
      <c r="AD52" s="140"/>
      <c r="AE52" s="140"/>
    </row>
    <row r="53" spans="1:31" s="201" customFormat="1" ht="11.25" customHeight="1">
      <c r="A53" s="564"/>
      <c r="B53" s="68"/>
      <c r="C53" s="68"/>
      <c r="K53" s="63"/>
      <c r="L53" s="68"/>
      <c r="M53" s="68"/>
      <c r="N53" s="63"/>
      <c r="O53" s="63"/>
      <c r="P53" s="63"/>
      <c r="Q53" s="63"/>
      <c r="R53" s="68"/>
      <c r="S53" s="63"/>
      <c r="T53" s="63"/>
      <c r="U53" s="307"/>
      <c r="V53" s="63"/>
      <c r="W53" s="63"/>
      <c r="X53" s="63"/>
      <c r="Y53" s="63"/>
      <c r="Z53" s="63"/>
      <c r="AA53" s="9"/>
      <c r="AB53" s="140"/>
      <c r="AC53" s="140"/>
      <c r="AD53" s="140"/>
      <c r="AE53" s="140"/>
    </row>
    <row r="54" spans="1:31" s="201" customFormat="1" ht="11.25" customHeight="1">
      <c r="A54" s="564"/>
      <c r="B54" s="68"/>
      <c r="C54" s="68"/>
      <c r="K54" s="63"/>
      <c r="L54" s="68"/>
      <c r="M54" s="68"/>
      <c r="N54" s="63"/>
      <c r="O54" s="63"/>
      <c r="P54" s="63"/>
      <c r="Q54" s="63"/>
      <c r="R54" s="68"/>
      <c r="S54" s="63"/>
      <c r="T54" s="63"/>
      <c r="U54" s="307"/>
      <c r="V54" s="63"/>
      <c r="W54" s="63"/>
      <c r="X54" s="63"/>
      <c r="Y54" s="63"/>
      <c r="Z54" s="63"/>
      <c r="AA54" s="9"/>
      <c r="AB54" s="140"/>
      <c r="AC54" s="140"/>
      <c r="AD54" s="140"/>
      <c r="AE54" s="140"/>
    </row>
    <row r="55" spans="1:31" s="201" customFormat="1" ht="11.25" customHeight="1">
      <c r="A55" s="564"/>
      <c r="B55" s="68"/>
      <c r="C55" s="68"/>
      <c r="K55" s="63"/>
      <c r="L55" s="68"/>
      <c r="M55" s="68"/>
      <c r="N55" s="63"/>
      <c r="O55" s="63"/>
      <c r="P55" s="63"/>
      <c r="Q55" s="63"/>
      <c r="R55" s="68"/>
      <c r="S55" s="63"/>
      <c r="T55" s="63"/>
      <c r="U55" s="307"/>
      <c r="V55" s="63"/>
      <c r="W55" s="63"/>
      <c r="X55" s="63"/>
      <c r="Y55" s="63"/>
      <c r="Z55" s="63"/>
      <c r="AA55" s="9"/>
      <c r="AB55" s="140"/>
      <c r="AC55" s="140"/>
      <c r="AD55" s="140"/>
      <c r="AE55" s="140"/>
    </row>
    <row r="56" spans="1:31" s="201" customFormat="1" ht="11.25" customHeight="1">
      <c r="A56" s="564"/>
      <c r="B56" s="68"/>
      <c r="C56" s="68"/>
      <c r="K56" s="63"/>
      <c r="L56" s="68"/>
      <c r="M56" s="68"/>
      <c r="N56" s="63"/>
      <c r="O56" s="63"/>
      <c r="P56" s="63"/>
      <c r="Q56" s="63"/>
      <c r="R56" s="68"/>
      <c r="S56" s="63"/>
      <c r="T56" s="63"/>
      <c r="U56" s="307"/>
      <c r="V56" s="63"/>
      <c r="W56" s="63"/>
      <c r="X56" s="63"/>
      <c r="Y56" s="63"/>
      <c r="Z56" s="63"/>
      <c r="AA56" s="9"/>
      <c r="AB56" s="140"/>
      <c r="AC56" s="140"/>
      <c r="AD56" s="140"/>
      <c r="AE56" s="140"/>
    </row>
    <row r="57" spans="1:31" s="201" customFormat="1" ht="11.25" customHeight="1">
      <c r="A57" s="564"/>
      <c r="B57" s="68"/>
      <c r="C57" s="68"/>
      <c r="K57" s="63"/>
      <c r="L57" s="68"/>
      <c r="M57" s="68"/>
      <c r="N57" s="63"/>
      <c r="O57" s="63"/>
      <c r="P57" s="63"/>
      <c r="Q57" s="63"/>
      <c r="R57" s="68"/>
      <c r="S57" s="63"/>
      <c r="T57" s="63"/>
      <c r="U57" s="307"/>
      <c r="V57" s="63"/>
      <c r="W57" s="63"/>
      <c r="X57" s="63"/>
      <c r="Y57" s="63"/>
      <c r="Z57" s="63"/>
      <c r="AA57" s="9"/>
      <c r="AB57" s="140"/>
      <c r="AC57" s="140"/>
      <c r="AD57" s="140"/>
      <c r="AE57" s="140"/>
    </row>
    <row r="58" spans="1:31" s="201" customFormat="1" ht="11.25" customHeight="1">
      <c r="A58" s="564"/>
      <c r="B58" s="68"/>
      <c r="C58" s="68"/>
      <c r="K58" s="63"/>
      <c r="L58" s="68"/>
      <c r="M58" s="68"/>
      <c r="N58" s="63"/>
      <c r="O58" s="63"/>
      <c r="P58" s="63"/>
      <c r="Q58" s="63"/>
      <c r="R58" s="68"/>
      <c r="S58" s="63"/>
      <c r="T58" s="63"/>
      <c r="U58" s="307"/>
      <c r="V58" s="63"/>
      <c r="W58" s="63"/>
      <c r="X58" s="63"/>
      <c r="Y58" s="63"/>
      <c r="Z58" s="63"/>
      <c r="AA58" s="9"/>
      <c r="AB58" s="140"/>
      <c r="AC58" s="140"/>
      <c r="AD58" s="140"/>
      <c r="AE58" s="140"/>
    </row>
    <row r="59" spans="1:31" s="201" customFormat="1" ht="11.25" customHeight="1">
      <c r="A59" s="564"/>
      <c r="B59" s="68"/>
      <c r="C59" s="68"/>
      <c r="K59" s="63"/>
      <c r="L59" s="68"/>
      <c r="M59" s="68"/>
      <c r="N59" s="63"/>
      <c r="O59" s="63"/>
      <c r="P59" s="63"/>
      <c r="Q59" s="63"/>
      <c r="R59" s="68"/>
      <c r="S59" s="63"/>
      <c r="T59" s="63"/>
      <c r="U59" s="307"/>
      <c r="V59" s="63"/>
      <c r="W59" s="63"/>
      <c r="X59" s="63"/>
      <c r="Y59" s="63"/>
      <c r="Z59" s="63"/>
      <c r="AA59" s="9"/>
      <c r="AB59" s="140"/>
      <c r="AC59" s="140"/>
      <c r="AD59" s="140"/>
      <c r="AE59" s="140"/>
    </row>
    <row r="60" spans="1:31" s="201" customFormat="1" ht="11.25" customHeight="1">
      <c r="A60" s="564"/>
      <c r="B60" s="68"/>
      <c r="C60" s="68"/>
      <c r="K60" s="63"/>
      <c r="L60" s="68"/>
      <c r="M60" s="68"/>
      <c r="N60" s="63"/>
      <c r="O60" s="63"/>
      <c r="P60" s="63"/>
      <c r="Q60" s="63"/>
      <c r="R60" s="68"/>
      <c r="S60" s="63"/>
      <c r="T60" s="63"/>
      <c r="U60" s="307"/>
      <c r="V60" s="63"/>
      <c r="W60" s="63"/>
      <c r="X60" s="63"/>
      <c r="Y60" s="63"/>
      <c r="Z60" s="63"/>
      <c r="AA60" s="9"/>
      <c r="AB60" s="140"/>
      <c r="AC60" s="140"/>
      <c r="AD60" s="140"/>
      <c r="AE60" s="140"/>
    </row>
    <row r="61" spans="1:31" s="201" customFormat="1" ht="11.25" customHeight="1">
      <c r="A61" s="564"/>
      <c r="B61" s="68"/>
      <c r="C61" s="68"/>
      <c r="K61" s="63"/>
      <c r="L61" s="68"/>
      <c r="M61" s="68"/>
      <c r="N61" s="63"/>
      <c r="O61" s="63"/>
      <c r="P61" s="63"/>
      <c r="Q61" s="63"/>
      <c r="R61" s="68"/>
      <c r="S61" s="63"/>
      <c r="T61" s="63"/>
      <c r="U61" s="307"/>
      <c r="V61" s="63"/>
      <c r="W61" s="63"/>
      <c r="X61" s="63"/>
      <c r="Y61" s="63"/>
      <c r="Z61" s="63"/>
      <c r="AA61" s="9"/>
      <c r="AB61" s="140"/>
      <c r="AC61" s="140"/>
      <c r="AD61" s="140"/>
      <c r="AE61" s="140"/>
    </row>
    <row r="62" spans="1:31" s="201" customFormat="1" ht="11.25" customHeight="1">
      <c r="A62" s="564"/>
      <c r="B62" s="68"/>
      <c r="C62" s="68"/>
      <c r="K62" s="63"/>
      <c r="L62" s="68"/>
      <c r="M62" s="68"/>
      <c r="N62" s="63"/>
      <c r="O62" s="63"/>
      <c r="P62" s="63"/>
      <c r="Q62" s="63"/>
      <c r="R62" s="68"/>
      <c r="S62" s="63"/>
      <c r="T62" s="63"/>
      <c r="U62" s="307"/>
      <c r="V62" s="63"/>
      <c r="W62" s="63"/>
      <c r="X62" s="63"/>
      <c r="Y62" s="63"/>
      <c r="Z62" s="63"/>
      <c r="AA62" s="9"/>
      <c r="AB62" s="140"/>
      <c r="AC62" s="140"/>
      <c r="AD62" s="140"/>
      <c r="AE62" s="140"/>
    </row>
    <row r="63" spans="1:31" s="201" customFormat="1" ht="11.25" customHeight="1">
      <c r="A63" s="564"/>
      <c r="B63" s="68"/>
      <c r="C63" s="68"/>
      <c r="K63" s="63"/>
      <c r="L63" s="68"/>
      <c r="M63" s="68"/>
      <c r="N63" s="63"/>
      <c r="O63" s="63"/>
      <c r="P63" s="63"/>
      <c r="Q63" s="63"/>
      <c r="R63" s="68"/>
      <c r="S63" s="63"/>
      <c r="T63" s="63"/>
      <c r="U63" s="307"/>
      <c r="V63" s="63"/>
      <c r="W63" s="63"/>
      <c r="X63" s="63"/>
      <c r="Y63" s="63"/>
      <c r="Z63" s="63"/>
      <c r="AA63" s="9"/>
      <c r="AB63" s="140"/>
      <c r="AC63" s="140"/>
      <c r="AD63" s="140"/>
      <c r="AE63" s="140"/>
    </row>
    <row r="64" spans="1:31" s="201" customFormat="1" ht="11.25" customHeight="1">
      <c r="A64" s="564"/>
      <c r="B64" s="68"/>
      <c r="C64" s="68"/>
      <c r="K64" s="63"/>
      <c r="L64" s="68"/>
      <c r="M64" s="68"/>
      <c r="N64" s="63"/>
      <c r="O64" s="63"/>
      <c r="P64" s="63"/>
      <c r="Q64" s="63"/>
      <c r="R64" s="68"/>
      <c r="S64" s="63"/>
      <c r="T64" s="63"/>
      <c r="U64" s="307"/>
      <c r="V64" s="63"/>
      <c r="W64" s="63"/>
      <c r="X64" s="63"/>
      <c r="Y64" s="63"/>
      <c r="Z64" s="63"/>
      <c r="AA64" s="9"/>
      <c r="AB64" s="140"/>
      <c r="AC64" s="140"/>
      <c r="AD64" s="140"/>
      <c r="AE64" s="140"/>
    </row>
    <row r="65" spans="1:31" s="201" customFormat="1" ht="11.25" customHeight="1">
      <c r="A65" s="564"/>
      <c r="B65" s="68"/>
      <c r="C65" s="68"/>
      <c r="K65" s="63"/>
      <c r="L65" s="68"/>
      <c r="M65" s="68"/>
      <c r="N65" s="63"/>
      <c r="O65" s="63"/>
      <c r="P65" s="63"/>
      <c r="Q65" s="63"/>
      <c r="R65" s="68"/>
      <c r="S65" s="63"/>
      <c r="T65" s="63"/>
      <c r="U65" s="307"/>
      <c r="V65" s="63"/>
      <c r="W65" s="63"/>
      <c r="X65" s="63"/>
      <c r="Y65" s="63"/>
      <c r="Z65" s="63"/>
      <c r="AA65" s="9"/>
      <c r="AB65" s="140"/>
      <c r="AC65" s="140"/>
      <c r="AD65" s="140"/>
      <c r="AE65" s="140"/>
    </row>
    <row r="66" spans="1:31" s="201" customFormat="1" ht="11.25" customHeight="1">
      <c r="A66" s="564"/>
      <c r="B66" s="68"/>
      <c r="C66" s="68"/>
      <c r="K66" s="63"/>
      <c r="L66" s="68"/>
      <c r="M66" s="68"/>
      <c r="N66" s="63"/>
      <c r="O66" s="63"/>
      <c r="P66" s="63"/>
      <c r="Q66" s="63"/>
      <c r="R66" s="68"/>
      <c r="S66" s="63"/>
      <c r="T66" s="63"/>
      <c r="U66" s="307"/>
      <c r="V66" s="63"/>
      <c r="W66" s="63"/>
      <c r="X66" s="63"/>
      <c r="Y66" s="63"/>
      <c r="Z66" s="63"/>
      <c r="AA66" s="9"/>
      <c r="AB66" s="140"/>
      <c r="AC66" s="140"/>
      <c r="AD66" s="140"/>
      <c r="AE66" s="140"/>
    </row>
    <row r="67" spans="1:31" s="201" customFormat="1" ht="11.25" customHeight="1">
      <c r="A67" s="564"/>
      <c r="B67" s="68"/>
      <c r="C67" s="68"/>
      <c r="K67" s="63"/>
      <c r="L67" s="68"/>
      <c r="M67" s="68"/>
      <c r="N67" s="63"/>
      <c r="O67" s="63"/>
      <c r="P67" s="63"/>
      <c r="Q67" s="63"/>
      <c r="R67" s="68"/>
      <c r="S67" s="63"/>
      <c r="T67" s="63"/>
      <c r="U67" s="307"/>
      <c r="V67" s="63"/>
      <c r="W67" s="63"/>
      <c r="X67" s="63"/>
      <c r="Y67" s="63"/>
      <c r="Z67" s="63"/>
      <c r="AA67" s="9"/>
      <c r="AB67" s="140"/>
      <c r="AC67" s="140"/>
      <c r="AD67" s="140"/>
      <c r="AE67" s="140"/>
    </row>
    <row r="68" spans="1:31" s="201" customFormat="1" ht="11.25" customHeight="1">
      <c r="A68" s="564"/>
      <c r="B68" s="68"/>
      <c r="C68" s="68"/>
      <c r="K68" s="63"/>
      <c r="L68" s="68"/>
      <c r="M68" s="68"/>
      <c r="N68" s="63"/>
      <c r="O68" s="63"/>
      <c r="P68" s="63"/>
      <c r="Q68" s="63"/>
      <c r="R68" s="68"/>
      <c r="S68" s="63"/>
      <c r="T68" s="63"/>
      <c r="U68" s="307"/>
      <c r="V68" s="63"/>
      <c r="W68" s="63"/>
      <c r="X68" s="63"/>
      <c r="Y68" s="63"/>
      <c r="Z68" s="63"/>
      <c r="AA68" s="9"/>
      <c r="AB68" s="140"/>
      <c r="AC68" s="140"/>
      <c r="AD68" s="140"/>
      <c r="AE68" s="140"/>
    </row>
    <row r="69" spans="1:31" s="201" customFormat="1" ht="11.25" customHeight="1">
      <c r="A69" s="564"/>
      <c r="B69" s="68"/>
      <c r="C69" s="68"/>
      <c r="K69" s="63"/>
      <c r="L69" s="68"/>
      <c r="M69" s="68"/>
      <c r="N69" s="63"/>
      <c r="O69" s="63"/>
      <c r="P69" s="63"/>
      <c r="Q69" s="63"/>
      <c r="R69" s="68"/>
      <c r="S69" s="63"/>
      <c r="T69" s="63"/>
      <c r="U69" s="307"/>
      <c r="V69" s="63"/>
      <c r="W69" s="63"/>
      <c r="X69" s="63"/>
      <c r="Y69" s="63"/>
      <c r="Z69" s="63"/>
      <c r="AA69" s="9"/>
      <c r="AB69" s="140"/>
      <c r="AC69" s="140"/>
      <c r="AD69" s="140"/>
      <c r="AE69" s="140"/>
    </row>
    <row r="70" spans="1:31" s="201" customFormat="1" ht="11.25" customHeight="1">
      <c r="A70" s="564"/>
      <c r="B70" s="68"/>
      <c r="C70" s="68"/>
      <c r="K70" s="63"/>
      <c r="L70" s="68"/>
      <c r="M70" s="68"/>
      <c r="N70" s="63"/>
      <c r="O70" s="63"/>
      <c r="P70" s="63"/>
      <c r="Q70" s="63"/>
      <c r="R70" s="68"/>
      <c r="S70" s="63"/>
      <c r="T70" s="63"/>
      <c r="U70" s="307"/>
      <c r="V70" s="63"/>
      <c r="W70" s="63"/>
      <c r="X70" s="63"/>
      <c r="Y70" s="63"/>
      <c r="Z70" s="63"/>
      <c r="AA70" s="9"/>
      <c r="AB70" s="140"/>
      <c r="AC70" s="140"/>
      <c r="AD70" s="140"/>
      <c r="AE70" s="140"/>
    </row>
    <row r="71" spans="1:31" s="201" customFormat="1" ht="11.25" customHeight="1">
      <c r="A71" s="564"/>
      <c r="B71" s="68"/>
      <c r="C71" s="68"/>
      <c r="K71" s="63"/>
      <c r="L71" s="68"/>
      <c r="M71" s="68"/>
      <c r="N71" s="63"/>
      <c r="O71" s="63"/>
      <c r="P71" s="63"/>
      <c r="Q71" s="63"/>
      <c r="R71" s="68"/>
      <c r="S71" s="63"/>
      <c r="T71" s="63"/>
      <c r="U71" s="307"/>
      <c r="V71" s="63"/>
      <c r="W71" s="63"/>
      <c r="X71" s="63"/>
      <c r="Y71" s="63"/>
      <c r="Z71" s="63"/>
      <c r="AA71" s="9"/>
      <c r="AB71" s="140"/>
      <c r="AC71" s="140"/>
      <c r="AD71" s="140"/>
      <c r="AE71" s="140"/>
    </row>
    <row r="72" spans="1:31" s="201" customFormat="1" ht="11.25" customHeight="1">
      <c r="A72" s="564"/>
      <c r="B72" s="68"/>
      <c r="C72" s="68"/>
      <c r="K72" s="63"/>
      <c r="L72" s="68"/>
      <c r="M72" s="68"/>
      <c r="N72" s="63"/>
      <c r="O72" s="63"/>
      <c r="P72" s="63"/>
      <c r="Q72" s="63"/>
      <c r="R72" s="68"/>
      <c r="S72" s="63"/>
      <c r="T72" s="63"/>
      <c r="U72" s="307"/>
      <c r="V72" s="63"/>
      <c r="W72" s="63"/>
      <c r="X72" s="63"/>
      <c r="Y72" s="63"/>
      <c r="Z72" s="63"/>
      <c r="AA72" s="9"/>
      <c r="AB72" s="140"/>
      <c r="AC72" s="140"/>
      <c r="AD72" s="140"/>
      <c r="AE72" s="140"/>
    </row>
    <row r="73" spans="1:31" s="201" customFormat="1" ht="11.25" customHeight="1">
      <c r="A73" s="564"/>
      <c r="B73" s="68"/>
      <c r="C73" s="68"/>
      <c r="K73" s="63"/>
      <c r="L73" s="68"/>
      <c r="M73" s="68"/>
      <c r="N73" s="63"/>
      <c r="O73" s="63"/>
      <c r="P73" s="63"/>
      <c r="Q73" s="63"/>
      <c r="R73" s="68"/>
      <c r="S73" s="63"/>
      <c r="T73" s="63"/>
      <c r="U73" s="307"/>
      <c r="V73" s="63"/>
      <c r="W73" s="63"/>
      <c r="X73" s="63"/>
      <c r="Y73" s="63"/>
      <c r="Z73" s="63"/>
      <c r="AA73" s="9"/>
      <c r="AB73" s="140"/>
      <c r="AC73" s="140"/>
      <c r="AD73" s="140"/>
      <c r="AE73" s="140"/>
    </row>
    <row r="74" spans="1:31" s="201" customFormat="1" ht="11.25" customHeight="1">
      <c r="A74" s="564"/>
      <c r="B74" s="68"/>
      <c r="C74" s="68"/>
      <c r="K74" s="63"/>
      <c r="L74" s="68"/>
      <c r="M74" s="68"/>
      <c r="N74" s="63"/>
      <c r="O74" s="63"/>
      <c r="P74" s="63"/>
      <c r="Q74" s="63"/>
      <c r="R74" s="68"/>
      <c r="S74" s="63"/>
      <c r="T74" s="63"/>
      <c r="U74" s="307"/>
      <c r="V74" s="63"/>
      <c r="W74" s="63"/>
      <c r="X74" s="63"/>
      <c r="Y74" s="63"/>
      <c r="Z74" s="63"/>
      <c r="AA74" s="9"/>
      <c r="AB74" s="140"/>
      <c r="AC74" s="140"/>
      <c r="AD74" s="140"/>
      <c r="AE74" s="140"/>
    </row>
    <row r="75" spans="1:31" s="201" customFormat="1" ht="11.25" customHeight="1">
      <c r="A75" s="564"/>
      <c r="B75" s="68"/>
      <c r="C75" s="68"/>
      <c r="K75" s="63"/>
      <c r="L75" s="68"/>
      <c r="M75" s="68"/>
      <c r="N75" s="63"/>
      <c r="O75" s="63"/>
      <c r="P75" s="63"/>
      <c r="Q75" s="63"/>
      <c r="R75" s="68"/>
      <c r="S75" s="63"/>
      <c r="T75" s="63"/>
      <c r="U75" s="307"/>
      <c r="V75" s="63"/>
      <c r="W75" s="63"/>
      <c r="X75" s="63"/>
      <c r="Y75" s="63"/>
      <c r="Z75" s="63"/>
      <c r="AA75" s="9"/>
      <c r="AB75" s="140"/>
      <c r="AC75" s="140"/>
      <c r="AD75" s="140"/>
      <c r="AE75" s="140"/>
    </row>
    <row r="76" spans="1:31" s="201" customFormat="1" ht="11.25" customHeight="1">
      <c r="A76" s="564"/>
      <c r="B76" s="68"/>
      <c r="C76" s="68"/>
      <c r="K76" s="63"/>
      <c r="L76" s="68"/>
      <c r="M76" s="68"/>
      <c r="N76" s="63"/>
      <c r="O76" s="63"/>
      <c r="P76" s="63"/>
      <c r="Q76" s="63"/>
      <c r="R76" s="68"/>
      <c r="S76" s="63"/>
      <c r="T76" s="63"/>
      <c r="U76" s="307"/>
      <c r="V76" s="63"/>
      <c r="W76" s="63"/>
      <c r="X76" s="63"/>
      <c r="Y76" s="63"/>
      <c r="Z76" s="63"/>
      <c r="AA76" s="9"/>
      <c r="AB76" s="140"/>
      <c r="AC76" s="140"/>
      <c r="AD76" s="140"/>
      <c r="AE76" s="140"/>
    </row>
    <row r="77" spans="1:31" s="201" customFormat="1" ht="11.25" customHeight="1">
      <c r="A77" s="564"/>
      <c r="B77" s="68"/>
      <c r="C77" s="68"/>
      <c r="K77" s="63"/>
      <c r="L77" s="68"/>
      <c r="M77" s="68"/>
      <c r="N77" s="63"/>
      <c r="O77" s="63"/>
      <c r="P77" s="63"/>
      <c r="Q77" s="63"/>
      <c r="R77" s="68"/>
      <c r="S77" s="63"/>
      <c r="T77" s="63"/>
      <c r="U77" s="307"/>
      <c r="V77" s="63"/>
      <c r="W77" s="63"/>
      <c r="X77" s="63"/>
      <c r="Y77" s="63"/>
      <c r="Z77" s="63"/>
      <c r="AA77" s="9"/>
      <c r="AB77" s="140"/>
      <c r="AC77" s="140"/>
      <c r="AD77" s="140"/>
      <c r="AE77" s="140"/>
    </row>
    <row r="78" spans="1:31" s="201" customFormat="1" ht="11.25" customHeight="1">
      <c r="A78" s="564"/>
      <c r="B78" s="68"/>
      <c r="C78" s="68"/>
      <c r="K78" s="63"/>
      <c r="L78" s="68"/>
      <c r="M78" s="68"/>
      <c r="N78" s="63"/>
      <c r="O78" s="63"/>
      <c r="P78" s="63"/>
      <c r="Q78" s="63"/>
      <c r="R78" s="68"/>
      <c r="S78" s="63"/>
      <c r="T78" s="63"/>
      <c r="U78" s="307"/>
      <c r="V78" s="63"/>
      <c r="W78" s="63"/>
      <c r="X78" s="63"/>
      <c r="Y78" s="63"/>
      <c r="Z78" s="63"/>
      <c r="AA78" s="9"/>
      <c r="AB78" s="140"/>
      <c r="AC78" s="140"/>
      <c r="AD78" s="140"/>
      <c r="AE78" s="140"/>
    </row>
    <row r="79" spans="1:31" s="201" customFormat="1" ht="11.25" customHeight="1">
      <c r="A79" s="564"/>
      <c r="B79" s="68"/>
      <c r="C79" s="68"/>
      <c r="K79" s="63"/>
      <c r="L79" s="68"/>
      <c r="M79" s="68"/>
      <c r="N79" s="63"/>
      <c r="O79" s="63"/>
      <c r="P79" s="63"/>
      <c r="Q79" s="63"/>
      <c r="R79" s="68"/>
      <c r="S79" s="63"/>
      <c r="T79" s="63"/>
      <c r="U79" s="307"/>
      <c r="V79" s="63"/>
      <c r="W79" s="63"/>
      <c r="X79" s="63"/>
      <c r="Y79" s="63"/>
      <c r="Z79" s="63"/>
      <c r="AA79" s="9"/>
      <c r="AB79" s="140"/>
      <c r="AC79" s="140"/>
      <c r="AD79" s="140"/>
      <c r="AE79" s="140"/>
    </row>
    <row r="80" spans="1:31" s="201" customFormat="1" ht="11.25" customHeight="1">
      <c r="A80" s="564"/>
      <c r="B80" s="68"/>
      <c r="C80" s="68"/>
      <c r="K80" s="63"/>
      <c r="L80" s="68"/>
      <c r="M80" s="68"/>
      <c r="N80" s="63"/>
      <c r="O80" s="63"/>
      <c r="P80" s="63"/>
      <c r="Q80" s="63"/>
      <c r="R80" s="68"/>
      <c r="S80" s="63"/>
      <c r="T80" s="63"/>
      <c r="U80" s="307"/>
      <c r="V80" s="63"/>
      <c r="W80" s="63"/>
      <c r="X80" s="63"/>
      <c r="Y80" s="63"/>
      <c r="Z80" s="63"/>
      <c r="AA80" s="9"/>
      <c r="AB80" s="140"/>
      <c r="AC80" s="140"/>
      <c r="AD80" s="140"/>
      <c r="AE80" s="140"/>
    </row>
    <row r="81" spans="1:31" s="201" customFormat="1" ht="11.25" customHeight="1">
      <c r="A81" s="564"/>
      <c r="B81" s="68"/>
      <c r="C81" s="68"/>
      <c r="K81" s="63"/>
      <c r="L81" s="68"/>
      <c r="M81" s="68"/>
      <c r="N81" s="63"/>
      <c r="O81" s="63"/>
      <c r="P81" s="63"/>
      <c r="Q81" s="63"/>
      <c r="R81" s="68"/>
      <c r="S81" s="63"/>
      <c r="T81" s="63"/>
      <c r="U81" s="307"/>
      <c r="V81" s="63"/>
      <c r="W81" s="63"/>
      <c r="X81" s="63"/>
      <c r="Y81" s="63"/>
      <c r="Z81" s="63"/>
      <c r="AA81" s="9"/>
      <c r="AB81" s="140"/>
      <c r="AC81" s="140"/>
      <c r="AD81" s="140"/>
      <c r="AE81" s="140"/>
    </row>
    <row r="82" spans="1:31" s="201" customFormat="1" ht="11.25" customHeight="1">
      <c r="A82" s="564"/>
      <c r="B82" s="68"/>
      <c r="C82" s="68"/>
      <c r="K82" s="63"/>
      <c r="L82" s="68"/>
      <c r="M82" s="68"/>
      <c r="N82" s="63"/>
      <c r="O82" s="63"/>
      <c r="P82" s="63"/>
      <c r="Q82" s="63"/>
      <c r="R82" s="68"/>
      <c r="S82" s="63"/>
      <c r="T82" s="63"/>
      <c r="U82" s="307"/>
      <c r="V82" s="63"/>
      <c r="W82" s="63"/>
      <c r="X82" s="63"/>
      <c r="Y82" s="63"/>
      <c r="Z82" s="63"/>
      <c r="AA82" s="9"/>
      <c r="AB82" s="140"/>
      <c r="AC82" s="140"/>
      <c r="AD82" s="140"/>
      <c r="AE82" s="140"/>
    </row>
    <row r="83" spans="1:31" s="201" customFormat="1" ht="11.25" customHeight="1">
      <c r="A83" s="564"/>
      <c r="B83" s="68"/>
      <c r="C83" s="68"/>
      <c r="K83" s="63"/>
      <c r="L83" s="68"/>
      <c r="M83" s="68"/>
      <c r="N83" s="63"/>
      <c r="O83" s="63"/>
      <c r="P83" s="63"/>
      <c r="Q83" s="63"/>
      <c r="R83" s="68"/>
      <c r="S83" s="63"/>
      <c r="T83" s="63"/>
      <c r="U83" s="307"/>
      <c r="V83" s="63"/>
      <c r="W83" s="63"/>
      <c r="X83" s="63"/>
      <c r="Y83" s="63"/>
      <c r="Z83" s="63"/>
      <c r="AA83" s="9"/>
      <c r="AB83" s="140"/>
      <c r="AC83" s="140"/>
      <c r="AD83" s="140"/>
      <c r="AE83" s="140"/>
    </row>
    <row r="84" spans="1:31" s="201" customFormat="1" ht="11.25" customHeight="1">
      <c r="A84" s="564"/>
      <c r="B84" s="68"/>
      <c r="C84" s="68"/>
      <c r="K84" s="63"/>
      <c r="L84" s="68"/>
      <c r="M84" s="68"/>
      <c r="N84" s="63"/>
      <c r="O84" s="63"/>
      <c r="P84" s="63"/>
      <c r="Q84" s="63"/>
      <c r="R84" s="68"/>
      <c r="S84" s="63"/>
      <c r="T84" s="63"/>
      <c r="U84" s="307"/>
      <c r="V84" s="63"/>
      <c r="W84" s="63"/>
      <c r="X84" s="63"/>
      <c r="Y84" s="63"/>
      <c r="Z84" s="63"/>
      <c r="AA84" s="9"/>
      <c r="AB84" s="140"/>
      <c r="AC84" s="140"/>
      <c r="AD84" s="140"/>
      <c r="AE84" s="140"/>
    </row>
    <row r="85" spans="1:31" s="201" customFormat="1" ht="11.25" customHeight="1">
      <c r="A85" s="564"/>
      <c r="B85" s="68"/>
      <c r="C85" s="68"/>
      <c r="K85" s="63"/>
      <c r="L85" s="68"/>
      <c r="M85" s="68"/>
      <c r="N85" s="63"/>
      <c r="O85" s="63"/>
      <c r="P85" s="63"/>
      <c r="Q85" s="63"/>
      <c r="R85" s="68"/>
      <c r="S85" s="63"/>
      <c r="T85" s="63"/>
      <c r="U85" s="307"/>
      <c r="V85" s="63"/>
      <c r="W85" s="63"/>
      <c r="X85" s="63"/>
      <c r="Y85" s="63"/>
      <c r="Z85" s="63"/>
      <c r="AA85" s="9"/>
      <c r="AB85" s="140"/>
      <c r="AC85" s="140"/>
      <c r="AD85" s="140"/>
      <c r="AE85" s="140"/>
    </row>
    <row r="86" spans="1:31" s="201" customFormat="1" ht="11.25" customHeight="1">
      <c r="A86" s="564"/>
      <c r="B86" s="68"/>
      <c r="C86" s="68"/>
      <c r="K86" s="63"/>
      <c r="L86" s="68"/>
      <c r="M86" s="68"/>
      <c r="N86" s="63"/>
      <c r="O86" s="63"/>
      <c r="P86" s="63"/>
      <c r="Q86" s="63"/>
      <c r="R86" s="68"/>
      <c r="S86" s="63"/>
      <c r="T86" s="63"/>
      <c r="U86" s="307"/>
      <c r="V86" s="63"/>
      <c r="W86" s="63"/>
      <c r="X86" s="63"/>
      <c r="Y86" s="63"/>
      <c r="Z86" s="63"/>
      <c r="AA86" s="9"/>
      <c r="AB86" s="140"/>
      <c r="AC86" s="140"/>
      <c r="AD86" s="140"/>
      <c r="AE86" s="140"/>
    </row>
    <row r="87" spans="1:31" s="201" customFormat="1" ht="11.25" customHeight="1">
      <c r="A87" s="564"/>
      <c r="B87" s="68"/>
      <c r="C87" s="68"/>
      <c r="K87" s="63"/>
      <c r="L87" s="68"/>
      <c r="M87" s="68"/>
      <c r="N87" s="63"/>
      <c r="O87" s="63"/>
      <c r="P87" s="63"/>
      <c r="Q87" s="63"/>
      <c r="R87" s="68"/>
      <c r="S87" s="63"/>
      <c r="T87" s="63"/>
      <c r="U87" s="307"/>
      <c r="V87" s="63"/>
      <c r="W87" s="63"/>
      <c r="X87" s="63"/>
      <c r="Y87" s="63"/>
      <c r="Z87" s="63"/>
      <c r="AA87" s="9"/>
      <c r="AB87" s="140"/>
      <c r="AC87" s="140"/>
      <c r="AD87" s="140"/>
      <c r="AE87" s="140"/>
    </row>
    <row r="88" spans="1:31" s="201" customFormat="1" ht="11.25" customHeight="1">
      <c r="A88" s="564"/>
      <c r="B88" s="68"/>
      <c r="C88" s="68"/>
      <c r="K88" s="63"/>
      <c r="L88" s="68"/>
      <c r="M88" s="68"/>
      <c r="N88" s="63"/>
      <c r="O88" s="63"/>
      <c r="P88" s="63"/>
      <c r="Q88" s="63"/>
      <c r="R88" s="68"/>
      <c r="S88" s="63"/>
      <c r="T88" s="63"/>
      <c r="U88" s="307"/>
      <c r="V88" s="63"/>
      <c r="W88" s="63"/>
      <c r="X88" s="63"/>
      <c r="Y88" s="63"/>
      <c r="Z88" s="63"/>
      <c r="AA88" s="9"/>
      <c r="AB88" s="140"/>
      <c r="AC88" s="140"/>
      <c r="AD88" s="140"/>
      <c r="AE88" s="140"/>
    </row>
    <row r="89" spans="1:31" s="201" customFormat="1" ht="11.25" customHeight="1">
      <c r="A89" s="564"/>
      <c r="B89" s="68"/>
      <c r="C89" s="68"/>
      <c r="K89" s="63"/>
      <c r="L89" s="68"/>
      <c r="M89" s="68"/>
      <c r="N89" s="63"/>
      <c r="O89" s="63"/>
      <c r="P89" s="63"/>
      <c r="Q89" s="63"/>
      <c r="R89" s="68"/>
      <c r="S89" s="63"/>
      <c r="T89" s="63"/>
      <c r="U89" s="307"/>
      <c r="V89" s="63"/>
      <c r="W89" s="63"/>
      <c r="X89" s="63"/>
      <c r="Y89" s="63"/>
      <c r="Z89" s="63"/>
      <c r="AA89" s="9"/>
      <c r="AB89" s="140"/>
      <c r="AC89" s="140"/>
      <c r="AD89" s="140"/>
      <c r="AE89" s="140"/>
    </row>
    <row r="90" spans="1:31" s="201" customFormat="1" ht="11.25" customHeight="1">
      <c r="A90" s="564"/>
      <c r="B90" s="68"/>
      <c r="C90" s="68"/>
      <c r="K90" s="63"/>
      <c r="L90" s="68"/>
      <c r="M90" s="68"/>
      <c r="N90" s="63"/>
      <c r="O90" s="63"/>
      <c r="P90" s="63"/>
      <c r="Q90" s="63"/>
      <c r="R90" s="68"/>
      <c r="S90" s="63"/>
      <c r="T90" s="63"/>
      <c r="U90" s="307"/>
      <c r="V90" s="63"/>
      <c r="W90" s="63"/>
      <c r="X90" s="63"/>
      <c r="Y90" s="63"/>
      <c r="Z90" s="63"/>
      <c r="AA90" s="9"/>
      <c r="AB90" s="140"/>
      <c r="AC90" s="140"/>
      <c r="AD90" s="140"/>
      <c r="AE90" s="140"/>
    </row>
    <row r="91" spans="1:31" s="201" customFormat="1" ht="11.25" customHeight="1">
      <c r="A91" s="564"/>
      <c r="B91" s="68"/>
      <c r="C91" s="68"/>
      <c r="K91" s="63"/>
      <c r="L91" s="68"/>
      <c r="M91" s="68"/>
      <c r="N91" s="63"/>
      <c r="O91" s="63"/>
      <c r="P91" s="63"/>
      <c r="Q91" s="63"/>
      <c r="R91" s="68"/>
      <c r="S91" s="63"/>
      <c r="T91" s="63"/>
      <c r="U91" s="307"/>
      <c r="V91" s="63"/>
      <c r="W91" s="63"/>
      <c r="X91" s="63"/>
      <c r="Y91" s="63"/>
      <c r="Z91" s="63"/>
      <c r="AA91" s="9"/>
      <c r="AB91" s="140"/>
      <c r="AC91" s="140"/>
      <c r="AD91" s="140"/>
      <c r="AE91" s="140"/>
    </row>
    <row r="92" spans="1:31" s="201" customFormat="1" ht="11.25" customHeight="1">
      <c r="A92" s="564"/>
      <c r="B92" s="68"/>
      <c r="C92" s="68"/>
      <c r="K92" s="63"/>
      <c r="L92" s="68"/>
      <c r="M92" s="68"/>
      <c r="N92" s="63"/>
      <c r="O92" s="63"/>
      <c r="P92" s="63"/>
      <c r="Q92" s="63"/>
      <c r="R92" s="68"/>
      <c r="S92" s="63"/>
      <c r="T92" s="63"/>
      <c r="U92" s="307"/>
      <c r="V92" s="63"/>
      <c r="W92" s="63"/>
      <c r="X92" s="63"/>
      <c r="Y92" s="63"/>
      <c r="Z92" s="63"/>
      <c r="AA92" s="9"/>
      <c r="AB92" s="140"/>
      <c r="AC92" s="140"/>
      <c r="AD92" s="140"/>
      <c r="AE92" s="140"/>
    </row>
    <row r="93" spans="1:31" s="201" customFormat="1" ht="11.25" customHeight="1">
      <c r="A93" s="564"/>
      <c r="B93" s="68"/>
      <c r="C93" s="68"/>
      <c r="K93" s="63"/>
      <c r="L93" s="68"/>
      <c r="M93" s="68"/>
      <c r="N93" s="63"/>
      <c r="O93" s="63"/>
      <c r="P93" s="63"/>
      <c r="Q93" s="63"/>
      <c r="R93" s="68"/>
      <c r="S93" s="63"/>
      <c r="T93" s="63"/>
      <c r="U93" s="307"/>
      <c r="V93" s="63"/>
      <c r="W93" s="63"/>
      <c r="X93" s="63"/>
      <c r="Y93" s="63"/>
      <c r="Z93" s="63"/>
      <c r="AA93" s="9"/>
      <c r="AB93" s="140"/>
      <c r="AC93" s="140"/>
      <c r="AD93" s="140"/>
      <c r="AE93" s="140"/>
    </row>
    <row r="94" spans="1:31" s="201" customFormat="1" ht="11.25" customHeight="1">
      <c r="A94" s="564"/>
      <c r="B94" s="68"/>
      <c r="C94" s="68"/>
      <c r="K94" s="63"/>
      <c r="L94" s="68"/>
      <c r="M94" s="68"/>
      <c r="N94" s="63"/>
      <c r="O94" s="63"/>
      <c r="P94" s="63"/>
      <c r="Q94" s="63"/>
      <c r="R94" s="68"/>
      <c r="S94" s="63"/>
      <c r="T94" s="63"/>
      <c r="U94" s="307"/>
      <c r="V94" s="63"/>
      <c r="W94" s="63"/>
      <c r="X94" s="63"/>
      <c r="Y94" s="63"/>
      <c r="Z94" s="63"/>
      <c r="AA94" s="9"/>
      <c r="AB94" s="140"/>
      <c r="AC94" s="140"/>
      <c r="AD94" s="140"/>
      <c r="AE94" s="140"/>
    </row>
    <row r="95" spans="1:31" s="201" customFormat="1" ht="11.25" customHeight="1">
      <c r="A95" s="564"/>
      <c r="B95" s="68"/>
      <c r="C95" s="68"/>
      <c r="K95" s="63"/>
      <c r="L95" s="68"/>
      <c r="M95" s="68"/>
      <c r="N95" s="63"/>
      <c r="O95" s="63"/>
      <c r="P95" s="63"/>
      <c r="Q95" s="63"/>
      <c r="R95" s="68"/>
      <c r="S95" s="63"/>
      <c r="T95" s="63"/>
      <c r="U95" s="307"/>
      <c r="V95" s="63"/>
      <c r="W95" s="63"/>
      <c r="X95" s="63"/>
      <c r="Y95" s="63"/>
      <c r="Z95" s="63"/>
      <c r="AA95" s="9"/>
      <c r="AB95" s="140"/>
      <c r="AC95" s="140"/>
      <c r="AD95" s="140"/>
      <c r="AE95" s="140"/>
    </row>
    <row r="96" spans="1:31" s="201" customFormat="1" ht="11.25" customHeight="1">
      <c r="A96" s="564"/>
      <c r="B96" s="68"/>
      <c r="C96" s="68"/>
      <c r="K96" s="63"/>
      <c r="L96" s="68"/>
      <c r="M96" s="68"/>
      <c r="N96" s="63"/>
      <c r="O96" s="63"/>
      <c r="P96" s="63"/>
      <c r="Q96" s="63"/>
      <c r="R96" s="68"/>
      <c r="S96" s="63"/>
      <c r="T96" s="63"/>
      <c r="U96" s="307"/>
      <c r="V96" s="63"/>
      <c r="W96" s="63"/>
      <c r="X96" s="63"/>
      <c r="Y96" s="63"/>
      <c r="Z96" s="63"/>
      <c r="AA96" s="9"/>
      <c r="AB96" s="140"/>
      <c r="AC96" s="140"/>
      <c r="AD96" s="140"/>
      <c r="AE96" s="140"/>
    </row>
    <row r="97" spans="1:31" s="201" customFormat="1" ht="11.25" customHeight="1">
      <c r="A97" s="564"/>
      <c r="B97" s="68"/>
      <c r="C97" s="68"/>
      <c r="K97" s="63"/>
      <c r="L97" s="68"/>
      <c r="M97" s="68"/>
      <c r="N97" s="63"/>
      <c r="O97" s="63"/>
      <c r="P97" s="63"/>
      <c r="Q97" s="63"/>
      <c r="R97" s="68"/>
      <c r="S97" s="63"/>
      <c r="T97" s="63"/>
      <c r="U97" s="307"/>
      <c r="V97" s="63"/>
      <c r="W97" s="63"/>
      <c r="X97" s="63"/>
      <c r="Y97" s="63"/>
      <c r="Z97" s="63"/>
      <c r="AA97" s="9"/>
      <c r="AB97" s="140"/>
      <c r="AC97" s="140"/>
      <c r="AD97" s="140"/>
      <c r="AE97" s="140"/>
    </row>
    <row r="98" spans="1:31" s="201" customFormat="1" ht="11.25" customHeight="1">
      <c r="A98" s="564"/>
      <c r="B98" s="68"/>
      <c r="C98" s="68"/>
      <c r="K98" s="63"/>
      <c r="L98" s="68"/>
      <c r="M98" s="68"/>
      <c r="N98" s="63"/>
      <c r="O98" s="63"/>
      <c r="P98" s="63"/>
      <c r="Q98" s="63"/>
      <c r="R98" s="68"/>
      <c r="S98" s="63"/>
      <c r="T98" s="63"/>
      <c r="U98" s="307"/>
      <c r="V98" s="63"/>
      <c r="W98" s="63"/>
      <c r="X98" s="63"/>
      <c r="Y98" s="63"/>
      <c r="Z98" s="63"/>
      <c r="AA98" s="9"/>
      <c r="AB98" s="140"/>
      <c r="AC98" s="140"/>
      <c r="AD98" s="140"/>
      <c r="AE98" s="140"/>
    </row>
    <row r="99" spans="1:31" s="201" customFormat="1" ht="11.25" customHeight="1">
      <c r="A99" s="564"/>
      <c r="B99" s="68"/>
      <c r="C99" s="68"/>
      <c r="K99" s="63"/>
      <c r="L99" s="68"/>
      <c r="M99" s="68"/>
      <c r="N99" s="63"/>
      <c r="O99" s="63"/>
      <c r="P99" s="63"/>
      <c r="Q99" s="63"/>
      <c r="R99" s="68"/>
      <c r="S99" s="63"/>
      <c r="T99" s="63"/>
      <c r="U99" s="307"/>
      <c r="V99" s="63"/>
      <c r="W99" s="63"/>
      <c r="X99" s="63"/>
      <c r="Y99" s="63"/>
      <c r="Z99" s="63"/>
      <c r="AA99" s="9"/>
      <c r="AB99" s="140"/>
      <c r="AC99" s="140"/>
      <c r="AD99" s="140"/>
      <c r="AE99" s="140"/>
    </row>
    <row r="100" spans="1:31" s="201" customFormat="1" ht="11.25" customHeight="1">
      <c r="A100" s="564"/>
      <c r="B100" s="68"/>
      <c r="C100" s="68"/>
      <c r="K100" s="63"/>
      <c r="L100" s="68"/>
      <c r="M100" s="68"/>
      <c r="N100" s="63"/>
      <c r="O100" s="63"/>
      <c r="P100" s="63"/>
      <c r="Q100" s="63"/>
      <c r="R100" s="68"/>
      <c r="S100" s="63"/>
      <c r="T100" s="63"/>
      <c r="U100" s="307"/>
      <c r="V100" s="63"/>
      <c r="W100" s="63"/>
      <c r="X100" s="63"/>
      <c r="Y100" s="63"/>
      <c r="Z100" s="63"/>
      <c r="AA100" s="9"/>
      <c r="AB100" s="140"/>
      <c r="AC100" s="140"/>
      <c r="AD100" s="140"/>
      <c r="AE100" s="140"/>
    </row>
    <row r="101" spans="1:31" s="201" customFormat="1" ht="11.25" customHeight="1">
      <c r="A101" s="564"/>
      <c r="B101" s="68"/>
      <c r="C101" s="68"/>
      <c r="K101" s="63"/>
      <c r="L101" s="68"/>
      <c r="M101" s="68"/>
      <c r="N101" s="63"/>
      <c r="O101" s="63"/>
      <c r="P101" s="63"/>
      <c r="Q101" s="63"/>
      <c r="R101" s="68"/>
      <c r="S101" s="63"/>
      <c r="T101" s="63"/>
      <c r="U101" s="307"/>
      <c r="V101" s="63"/>
      <c r="W101" s="63"/>
      <c r="X101" s="63"/>
      <c r="Y101" s="63"/>
      <c r="Z101" s="63"/>
      <c r="AA101" s="9"/>
      <c r="AB101" s="140"/>
      <c r="AC101" s="140"/>
      <c r="AD101" s="140"/>
      <c r="AE101" s="140"/>
    </row>
    <row r="102" spans="1:31" s="201" customFormat="1" ht="11.25" customHeight="1">
      <c r="A102" s="564"/>
      <c r="B102" s="68"/>
      <c r="C102" s="68"/>
      <c r="K102" s="63"/>
      <c r="L102" s="68"/>
      <c r="M102" s="68"/>
      <c r="N102" s="63"/>
      <c r="O102" s="63"/>
      <c r="P102" s="63"/>
      <c r="Q102" s="63"/>
      <c r="R102" s="68"/>
      <c r="S102" s="63"/>
      <c r="T102" s="63"/>
      <c r="U102" s="307"/>
      <c r="V102" s="63"/>
      <c r="W102" s="63"/>
      <c r="X102" s="63"/>
      <c r="Y102" s="63"/>
      <c r="Z102" s="63"/>
      <c r="AA102" s="9"/>
      <c r="AB102" s="140"/>
      <c r="AC102" s="140"/>
      <c r="AD102" s="140"/>
      <c r="AE102" s="140"/>
    </row>
    <row r="103" spans="1:31" s="201" customFormat="1" ht="11.25" customHeight="1">
      <c r="A103" s="564"/>
      <c r="B103" s="68"/>
      <c r="C103" s="68"/>
      <c r="K103" s="63"/>
      <c r="L103" s="68"/>
      <c r="M103" s="68"/>
      <c r="N103" s="63"/>
      <c r="O103" s="63"/>
      <c r="P103" s="63"/>
      <c r="Q103" s="63"/>
      <c r="R103" s="68"/>
      <c r="S103" s="63"/>
      <c r="T103" s="63"/>
      <c r="U103" s="307"/>
      <c r="V103" s="63"/>
      <c r="W103" s="63"/>
      <c r="X103" s="63"/>
      <c r="Y103" s="63"/>
      <c r="Z103" s="63"/>
      <c r="AA103" s="9"/>
      <c r="AB103" s="140"/>
      <c r="AC103" s="140"/>
      <c r="AD103" s="140"/>
      <c r="AE103" s="140"/>
    </row>
    <row r="104" spans="1:31" s="201" customFormat="1" ht="11.25" customHeight="1">
      <c r="A104" s="564"/>
      <c r="B104" s="68"/>
      <c r="C104" s="68"/>
      <c r="K104" s="63"/>
      <c r="L104" s="68"/>
      <c r="M104" s="68"/>
      <c r="N104" s="63"/>
      <c r="O104" s="63"/>
      <c r="P104" s="63"/>
      <c r="Q104" s="63"/>
      <c r="R104" s="68"/>
      <c r="S104" s="63"/>
      <c r="T104" s="63"/>
      <c r="U104" s="307"/>
      <c r="V104" s="63"/>
      <c r="W104" s="63"/>
      <c r="X104" s="63"/>
      <c r="Y104" s="63"/>
      <c r="Z104" s="63"/>
      <c r="AA104" s="9"/>
      <c r="AB104" s="140"/>
      <c r="AC104" s="140"/>
      <c r="AD104" s="140"/>
      <c r="AE104" s="140"/>
    </row>
    <row r="105" spans="1:31" s="201" customFormat="1" ht="11.25" customHeight="1">
      <c r="A105" s="564"/>
      <c r="B105" s="68"/>
      <c r="C105" s="68"/>
      <c r="K105" s="63"/>
      <c r="L105" s="68"/>
      <c r="M105" s="68"/>
      <c r="N105" s="63"/>
      <c r="O105" s="63"/>
      <c r="P105" s="63"/>
      <c r="Q105" s="63"/>
      <c r="R105" s="68"/>
      <c r="S105" s="63"/>
      <c r="T105" s="63"/>
      <c r="U105" s="307"/>
      <c r="V105" s="63"/>
      <c r="W105" s="63"/>
      <c r="X105" s="63"/>
      <c r="Y105" s="63"/>
      <c r="Z105" s="63"/>
      <c r="AA105" s="9"/>
      <c r="AB105" s="140"/>
      <c r="AC105" s="140"/>
      <c r="AD105" s="140"/>
      <c r="AE105" s="140"/>
    </row>
    <row r="106" spans="1:31" s="201" customFormat="1" ht="11.25" customHeight="1">
      <c r="A106" s="564"/>
      <c r="B106" s="68"/>
      <c r="C106" s="68"/>
      <c r="K106" s="63"/>
      <c r="L106" s="68"/>
      <c r="M106" s="68"/>
      <c r="N106" s="63"/>
      <c r="O106" s="63"/>
      <c r="P106" s="63"/>
      <c r="Q106" s="63"/>
      <c r="R106" s="68"/>
      <c r="S106" s="63"/>
      <c r="T106" s="63"/>
      <c r="U106" s="307"/>
      <c r="V106" s="63"/>
      <c r="W106" s="63"/>
      <c r="X106" s="63"/>
      <c r="Y106" s="63"/>
      <c r="Z106" s="63"/>
      <c r="AA106" s="9"/>
      <c r="AB106" s="140"/>
      <c r="AC106" s="140"/>
      <c r="AD106" s="140"/>
      <c r="AE106" s="140"/>
    </row>
    <row r="107" spans="1:31" s="201" customFormat="1" ht="11.25" customHeight="1">
      <c r="A107" s="564"/>
      <c r="B107" s="68"/>
      <c r="C107" s="68"/>
      <c r="K107" s="63"/>
      <c r="L107" s="68"/>
      <c r="M107" s="68"/>
      <c r="N107" s="63"/>
      <c r="O107" s="63"/>
      <c r="P107" s="63"/>
      <c r="Q107" s="63"/>
      <c r="R107" s="68"/>
      <c r="S107" s="63"/>
      <c r="T107" s="63"/>
      <c r="U107" s="307"/>
      <c r="V107" s="63"/>
      <c r="W107" s="63"/>
      <c r="X107" s="63"/>
      <c r="Y107" s="63"/>
      <c r="Z107" s="63"/>
      <c r="AA107" s="9"/>
      <c r="AB107" s="140"/>
      <c r="AC107" s="140"/>
      <c r="AD107" s="140"/>
      <c r="AE107" s="140"/>
    </row>
    <row r="108" spans="1:31" s="201" customFormat="1" ht="11.25" customHeight="1">
      <c r="A108" s="564"/>
      <c r="B108" s="68"/>
      <c r="C108" s="68"/>
      <c r="K108" s="63"/>
      <c r="L108" s="68"/>
      <c r="M108" s="68"/>
      <c r="N108" s="63"/>
      <c r="O108" s="63"/>
      <c r="P108" s="63"/>
      <c r="Q108" s="63"/>
      <c r="R108" s="68"/>
      <c r="S108" s="63"/>
      <c r="T108" s="63"/>
      <c r="U108" s="307"/>
      <c r="V108" s="63"/>
      <c r="W108" s="63"/>
      <c r="X108" s="63"/>
      <c r="Y108" s="63"/>
      <c r="Z108" s="63"/>
      <c r="AA108" s="9"/>
      <c r="AB108" s="140"/>
      <c r="AC108" s="140"/>
      <c r="AD108" s="140"/>
      <c r="AE108" s="140"/>
    </row>
    <row r="109" spans="1:31" s="201" customFormat="1" ht="11.25" customHeight="1">
      <c r="A109" s="564"/>
      <c r="B109" s="68"/>
      <c r="C109" s="68"/>
      <c r="K109" s="63"/>
      <c r="L109" s="68"/>
      <c r="M109" s="68"/>
      <c r="N109" s="63"/>
      <c r="O109" s="63"/>
      <c r="P109" s="63"/>
      <c r="Q109" s="63"/>
      <c r="R109" s="68"/>
      <c r="S109" s="63"/>
      <c r="T109" s="63"/>
      <c r="U109" s="307"/>
      <c r="V109" s="63"/>
      <c r="W109" s="63"/>
      <c r="X109" s="63"/>
      <c r="Y109" s="63"/>
      <c r="Z109" s="63"/>
      <c r="AA109" s="9"/>
      <c r="AB109" s="140"/>
      <c r="AC109" s="140"/>
      <c r="AD109" s="140"/>
      <c r="AE109" s="140"/>
    </row>
    <row r="110" spans="1:31" s="201" customFormat="1" ht="11.25" customHeight="1">
      <c r="A110" s="564"/>
      <c r="B110" s="68"/>
      <c r="C110" s="68"/>
      <c r="K110" s="63"/>
      <c r="L110" s="68"/>
      <c r="M110" s="68"/>
      <c r="N110" s="63"/>
      <c r="O110" s="63"/>
      <c r="P110" s="63"/>
      <c r="Q110" s="63"/>
      <c r="R110" s="68"/>
      <c r="S110" s="63"/>
      <c r="T110" s="63"/>
      <c r="U110" s="307"/>
      <c r="V110" s="63"/>
      <c r="W110" s="63"/>
      <c r="X110" s="63"/>
      <c r="Y110" s="63"/>
      <c r="Z110" s="63"/>
      <c r="AA110" s="9"/>
      <c r="AB110" s="140"/>
      <c r="AC110" s="140"/>
      <c r="AD110" s="140"/>
      <c r="AE110" s="140"/>
    </row>
    <row r="111" spans="1:31" s="201" customFormat="1" ht="11.25" customHeight="1">
      <c r="A111" s="564"/>
      <c r="B111" s="68"/>
      <c r="C111" s="68"/>
      <c r="K111" s="63"/>
      <c r="L111" s="68"/>
      <c r="M111" s="68"/>
      <c r="N111" s="63"/>
      <c r="O111" s="63"/>
      <c r="P111" s="63"/>
      <c r="Q111" s="63"/>
      <c r="R111" s="68"/>
      <c r="S111" s="63"/>
      <c r="T111" s="63"/>
      <c r="U111" s="307"/>
      <c r="V111" s="63"/>
      <c r="W111" s="63"/>
      <c r="X111" s="63"/>
      <c r="Y111" s="63"/>
      <c r="Z111" s="63"/>
      <c r="AA111" s="9"/>
      <c r="AB111" s="140"/>
      <c r="AC111" s="140"/>
      <c r="AD111" s="140"/>
      <c r="AE111" s="140"/>
    </row>
    <row r="112" spans="1:31" s="201" customFormat="1" ht="11.25" customHeight="1">
      <c r="A112" s="564"/>
      <c r="B112" s="68"/>
      <c r="C112" s="68"/>
      <c r="K112" s="63"/>
      <c r="L112" s="68"/>
      <c r="M112" s="68"/>
      <c r="N112" s="63"/>
      <c r="O112" s="63"/>
      <c r="P112" s="63"/>
      <c r="Q112" s="63"/>
      <c r="R112" s="68"/>
      <c r="S112" s="63"/>
      <c r="T112" s="63"/>
      <c r="U112" s="307"/>
      <c r="V112" s="63"/>
      <c r="W112" s="63"/>
      <c r="X112" s="63"/>
      <c r="Y112" s="63"/>
      <c r="Z112" s="63"/>
      <c r="AA112" s="9"/>
      <c r="AB112" s="140"/>
      <c r="AC112" s="140"/>
      <c r="AD112" s="140"/>
      <c r="AE112" s="140"/>
    </row>
    <row r="113" spans="1:31" s="201" customFormat="1" ht="11.25" customHeight="1">
      <c r="A113" s="564"/>
      <c r="B113" s="68"/>
      <c r="C113" s="68"/>
      <c r="K113" s="63"/>
      <c r="L113" s="68"/>
      <c r="M113" s="68"/>
      <c r="N113" s="63"/>
      <c r="O113" s="63"/>
      <c r="P113" s="63"/>
      <c r="Q113" s="63"/>
      <c r="R113" s="68"/>
      <c r="S113" s="63"/>
      <c r="T113" s="63"/>
      <c r="U113" s="307"/>
      <c r="V113" s="63"/>
      <c r="W113" s="63"/>
      <c r="X113" s="63"/>
      <c r="Y113" s="63"/>
      <c r="Z113" s="63"/>
      <c r="AA113" s="9"/>
      <c r="AB113" s="140"/>
      <c r="AC113" s="140"/>
      <c r="AD113" s="140"/>
      <c r="AE113" s="140"/>
    </row>
    <row r="114" spans="1:31" s="201" customFormat="1" ht="11.25" customHeight="1">
      <c r="A114" s="564"/>
      <c r="B114" s="68"/>
      <c r="C114" s="68"/>
      <c r="K114" s="63"/>
      <c r="L114" s="68"/>
      <c r="M114" s="68"/>
      <c r="N114" s="63"/>
      <c r="O114" s="63"/>
      <c r="P114" s="63"/>
      <c r="Q114" s="63"/>
      <c r="R114" s="68"/>
      <c r="S114" s="63"/>
      <c r="T114" s="63"/>
      <c r="U114" s="307"/>
      <c r="V114" s="63"/>
      <c r="W114" s="63"/>
      <c r="X114" s="63"/>
      <c r="Y114" s="63"/>
      <c r="Z114" s="63"/>
      <c r="AA114" s="9"/>
      <c r="AB114" s="140"/>
      <c r="AC114" s="140"/>
      <c r="AD114" s="140"/>
      <c r="AE114" s="140"/>
    </row>
    <row r="115" spans="1:31" s="201" customFormat="1" ht="11.25" customHeight="1">
      <c r="A115" s="564"/>
      <c r="B115" s="68"/>
      <c r="C115" s="68"/>
      <c r="K115" s="63"/>
      <c r="L115" s="68"/>
      <c r="M115" s="68"/>
      <c r="N115" s="63"/>
      <c r="O115" s="63"/>
      <c r="P115" s="63"/>
      <c r="Q115" s="63"/>
      <c r="R115" s="68"/>
      <c r="S115" s="63"/>
      <c r="T115" s="63"/>
      <c r="U115" s="307"/>
      <c r="V115" s="63"/>
      <c r="W115" s="63"/>
      <c r="X115" s="63"/>
      <c r="Y115" s="63"/>
      <c r="Z115" s="63"/>
      <c r="AA115" s="9"/>
      <c r="AB115" s="140"/>
      <c r="AC115" s="140"/>
      <c r="AD115" s="140"/>
      <c r="AE115" s="140"/>
    </row>
    <row r="116" spans="1:31" s="201" customFormat="1" ht="11.25" customHeight="1">
      <c r="A116" s="564"/>
      <c r="B116" s="68"/>
      <c r="C116" s="68"/>
      <c r="K116" s="63"/>
      <c r="L116" s="68"/>
      <c r="M116" s="68"/>
      <c r="N116" s="63"/>
      <c r="O116" s="63"/>
      <c r="P116" s="63"/>
      <c r="Q116" s="63"/>
      <c r="R116" s="68"/>
      <c r="S116" s="63"/>
      <c r="T116" s="63"/>
      <c r="U116" s="307"/>
      <c r="V116" s="63"/>
      <c r="W116" s="63"/>
      <c r="X116" s="63"/>
      <c r="Y116" s="63"/>
      <c r="Z116" s="63"/>
      <c r="AA116" s="9"/>
      <c r="AB116" s="140"/>
      <c r="AC116" s="140"/>
      <c r="AD116" s="140"/>
      <c r="AE116" s="140"/>
    </row>
    <row r="117" spans="1:31" s="201" customFormat="1" ht="11.25" customHeight="1">
      <c r="A117" s="564"/>
      <c r="B117" s="68"/>
      <c r="C117" s="68"/>
      <c r="K117" s="63"/>
      <c r="L117" s="68"/>
      <c r="M117" s="68"/>
      <c r="N117" s="63"/>
      <c r="O117" s="63"/>
      <c r="P117" s="63"/>
      <c r="Q117" s="63"/>
      <c r="R117" s="68"/>
      <c r="S117" s="63"/>
      <c r="T117" s="63"/>
      <c r="U117" s="307"/>
      <c r="V117" s="63"/>
      <c r="W117" s="63"/>
      <c r="X117" s="63"/>
      <c r="Y117" s="63"/>
      <c r="Z117" s="63"/>
      <c r="AA117" s="9"/>
      <c r="AB117" s="140"/>
      <c r="AC117" s="140"/>
      <c r="AD117" s="140"/>
      <c r="AE117" s="140"/>
    </row>
    <row r="118" spans="1:31" s="201" customFormat="1" ht="11.25" customHeight="1">
      <c r="A118" s="564"/>
      <c r="B118" s="68"/>
      <c r="C118" s="68"/>
      <c r="K118" s="63"/>
      <c r="L118" s="68"/>
      <c r="M118" s="68"/>
      <c r="N118" s="63"/>
      <c r="O118" s="63"/>
      <c r="P118" s="63"/>
      <c r="Q118" s="63"/>
      <c r="R118" s="68"/>
      <c r="S118" s="63"/>
      <c r="T118" s="63"/>
      <c r="U118" s="307"/>
      <c r="V118" s="63"/>
      <c r="W118" s="63"/>
      <c r="X118" s="63"/>
      <c r="Y118" s="63"/>
      <c r="Z118" s="63"/>
      <c r="AA118" s="9"/>
      <c r="AB118" s="140"/>
      <c r="AC118" s="140"/>
      <c r="AD118" s="140"/>
      <c r="AE118" s="140"/>
    </row>
    <row r="119" spans="1:31" s="201" customFormat="1" ht="11.25" customHeight="1">
      <c r="A119" s="564"/>
      <c r="B119" s="68"/>
      <c r="C119" s="68"/>
      <c r="K119" s="63"/>
      <c r="L119" s="68"/>
      <c r="M119" s="68"/>
      <c r="N119" s="63"/>
      <c r="O119" s="63"/>
      <c r="P119" s="63"/>
      <c r="Q119" s="63"/>
      <c r="R119" s="68"/>
      <c r="S119" s="63"/>
      <c r="T119" s="63"/>
      <c r="U119" s="307"/>
      <c r="V119" s="63"/>
      <c r="W119" s="63"/>
      <c r="X119" s="63"/>
      <c r="Y119" s="63"/>
      <c r="Z119" s="63"/>
      <c r="AA119" s="9"/>
      <c r="AB119" s="140"/>
      <c r="AC119" s="140"/>
      <c r="AD119" s="140"/>
      <c r="AE119" s="140"/>
    </row>
    <row r="120" spans="1:31" s="201" customFormat="1" ht="11.25" customHeight="1">
      <c r="A120" s="564"/>
      <c r="B120" s="68"/>
      <c r="C120" s="68"/>
      <c r="K120" s="63"/>
      <c r="L120" s="68"/>
      <c r="M120" s="68"/>
      <c r="N120" s="63"/>
      <c r="O120" s="63"/>
      <c r="P120" s="63"/>
      <c r="Q120" s="63"/>
      <c r="R120" s="68"/>
      <c r="S120" s="63"/>
      <c r="T120" s="63"/>
      <c r="U120" s="307"/>
      <c r="V120" s="63"/>
      <c r="W120" s="63"/>
      <c r="X120" s="63"/>
      <c r="Y120" s="63"/>
      <c r="Z120" s="63"/>
      <c r="AA120" s="9"/>
      <c r="AB120" s="140"/>
      <c r="AC120" s="140"/>
      <c r="AD120" s="140"/>
      <c r="AE120" s="140"/>
    </row>
    <row r="121" spans="1:31" s="201" customFormat="1" ht="11.25" customHeight="1">
      <c r="A121" s="564"/>
      <c r="B121" s="68"/>
      <c r="C121" s="68"/>
      <c r="K121" s="63"/>
      <c r="L121" s="68"/>
      <c r="M121" s="68"/>
      <c r="N121" s="63"/>
      <c r="O121" s="63"/>
      <c r="P121" s="63"/>
      <c r="Q121" s="63"/>
      <c r="R121" s="68"/>
      <c r="S121" s="63"/>
      <c r="T121" s="63"/>
      <c r="U121" s="307"/>
      <c r="V121" s="63"/>
      <c r="W121" s="63"/>
      <c r="X121" s="63"/>
      <c r="Y121" s="63"/>
      <c r="Z121" s="63"/>
      <c r="AA121" s="9"/>
      <c r="AB121" s="140"/>
      <c r="AC121" s="140"/>
      <c r="AD121" s="140"/>
      <c r="AE121" s="140"/>
    </row>
    <row r="122" spans="1:31" s="201" customFormat="1" ht="11.25" customHeight="1">
      <c r="A122" s="564"/>
      <c r="B122" s="68"/>
      <c r="C122" s="68"/>
      <c r="K122" s="63"/>
      <c r="L122" s="68"/>
      <c r="M122" s="68"/>
      <c r="N122" s="63"/>
      <c r="O122" s="63"/>
      <c r="P122" s="63"/>
      <c r="Q122" s="63"/>
      <c r="R122" s="68"/>
      <c r="S122" s="63"/>
      <c r="T122" s="63"/>
      <c r="U122" s="307"/>
      <c r="V122" s="63"/>
      <c r="W122" s="63"/>
      <c r="X122" s="63"/>
      <c r="Y122" s="63"/>
      <c r="Z122" s="63"/>
      <c r="AA122" s="9"/>
      <c r="AB122" s="140"/>
      <c r="AC122" s="140"/>
      <c r="AD122" s="140"/>
      <c r="AE122" s="140"/>
    </row>
    <row r="123" spans="1:31" s="201" customFormat="1" ht="11.25" customHeight="1">
      <c r="A123" s="564"/>
      <c r="B123" s="68"/>
      <c r="C123" s="68"/>
      <c r="K123" s="63"/>
      <c r="L123" s="68"/>
      <c r="M123" s="68"/>
      <c r="N123" s="63"/>
      <c r="O123" s="63"/>
      <c r="P123" s="63"/>
      <c r="Q123" s="63"/>
      <c r="R123" s="68"/>
      <c r="S123" s="63"/>
      <c r="T123" s="63"/>
      <c r="U123" s="307"/>
      <c r="V123" s="63"/>
      <c r="W123" s="63"/>
      <c r="X123" s="63"/>
      <c r="Y123" s="63"/>
      <c r="Z123" s="63"/>
      <c r="AA123" s="9"/>
      <c r="AB123" s="140"/>
      <c r="AC123" s="140"/>
      <c r="AD123" s="140"/>
      <c r="AE123" s="140"/>
    </row>
    <row r="124" spans="1:31" s="201" customFormat="1" ht="11.25" customHeight="1">
      <c r="A124" s="564"/>
      <c r="B124" s="68"/>
      <c r="C124" s="68"/>
      <c r="K124" s="63"/>
      <c r="L124" s="68"/>
      <c r="M124" s="68"/>
      <c r="N124" s="63"/>
      <c r="O124" s="63"/>
      <c r="P124" s="63"/>
      <c r="Q124" s="63"/>
      <c r="R124" s="68"/>
      <c r="S124" s="63"/>
      <c r="T124" s="63"/>
      <c r="U124" s="307"/>
      <c r="V124" s="63"/>
      <c r="W124" s="63"/>
      <c r="X124" s="63"/>
      <c r="Y124" s="63"/>
      <c r="Z124" s="63"/>
      <c r="AA124" s="9"/>
      <c r="AB124" s="140"/>
      <c r="AC124" s="140"/>
      <c r="AD124" s="140"/>
      <c r="AE124" s="140"/>
    </row>
    <row r="125" spans="1:31" s="201" customFormat="1" ht="11.25" customHeight="1">
      <c r="A125" s="564"/>
      <c r="B125" s="68"/>
      <c r="C125" s="68"/>
      <c r="K125" s="63"/>
      <c r="L125" s="68"/>
      <c r="M125" s="68"/>
      <c r="N125" s="63"/>
      <c r="O125" s="63"/>
      <c r="P125" s="63"/>
      <c r="Q125" s="63"/>
      <c r="R125" s="68"/>
      <c r="S125" s="63"/>
      <c r="T125" s="63"/>
      <c r="U125" s="307"/>
      <c r="V125" s="63"/>
      <c r="W125" s="63"/>
      <c r="X125" s="63"/>
      <c r="Y125" s="63"/>
      <c r="Z125" s="63"/>
      <c r="AA125" s="9"/>
      <c r="AB125" s="140"/>
      <c r="AC125" s="140"/>
      <c r="AD125" s="140"/>
      <c r="AE125" s="140"/>
    </row>
    <row r="126" spans="1:31" s="201" customFormat="1" ht="11.25" customHeight="1">
      <c r="A126" s="564"/>
      <c r="B126" s="68"/>
      <c r="C126" s="68"/>
      <c r="K126" s="63"/>
      <c r="L126" s="68"/>
      <c r="M126" s="68"/>
      <c r="N126" s="63"/>
      <c r="O126" s="63"/>
      <c r="P126" s="63"/>
      <c r="Q126" s="63"/>
      <c r="R126" s="68"/>
      <c r="S126" s="63"/>
      <c r="T126" s="63"/>
      <c r="U126" s="307"/>
      <c r="V126" s="63"/>
      <c r="W126" s="63"/>
      <c r="X126" s="63"/>
      <c r="Y126" s="63"/>
      <c r="Z126" s="63"/>
      <c r="AA126" s="9"/>
      <c r="AB126" s="140"/>
      <c r="AC126" s="140"/>
      <c r="AD126" s="140"/>
      <c r="AE126" s="140"/>
    </row>
    <row r="127" spans="1:31" s="201" customFormat="1" ht="11.25" customHeight="1">
      <c r="A127" s="564"/>
      <c r="B127" s="68"/>
      <c r="C127" s="68"/>
      <c r="K127" s="63"/>
      <c r="L127" s="68"/>
      <c r="M127" s="68"/>
      <c r="N127" s="63"/>
      <c r="O127" s="63"/>
      <c r="P127" s="63"/>
      <c r="Q127" s="63"/>
      <c r="R127" s="68"/>
      <c r="S127" s="63"/>
      <c r="T127" s="63"/>
      <c r="U127" s="307"/>
      <c r="V127" s="63"/>
      <c r="W127" s="63"/>
      <c r="X127" s="63"/>
      <c r="Y127" s="63"/>
      <c r="Z127" s="63"/>
      <c r="AA127" s="9"/>
      <c r="AB127" s="140"/>
      <c r="AC127" s="140"/>
      <c r="AD127" s="140"/>
      <c r="AE127" s="140"/>
    </row>
    <row r="128" spans="1:31" s="201" customFormat="1" ht="11.25" customHeight="1">
      <c r="A128" s="564"/>
      <c r="B128" s="68"/>
      <c r="C128" s="68"/>
      <c r="K128" s="63"/>
      <c r="L128" s="68"/>
      <c r="M128" s="68"/>
      <c r="N128" s="63"/>
      <c r="O128" s="63"/>
      <c r="P128" s="63"/>
      <c r="Q128" s="63"/>
      <c r="R128" s="68"/>
      <c r="S128" s="63"/>
      <c r="T128" s="63"/>
      <c r="U128" s="307"/>
      <c r="V128" s="63"/>
      <c r="W128" s="63"/>
      <c r="X128" s="63"/>
      <c r="Y128" s="63"/>
      <c r="Z128" s="63"/>
      <c r="AA128" s="9"/>
      <c r="AB128" s="140"/>
      <c r="AC128" s="140"/>
      <c r="AD128" s="140"/>
      <c r="AE128" s="140"/>
    </row>
    <row r="129" spans="1:31" s="201" customFormat="1" ht="11.25" customHeight="1">
      <c r="A129" s="564"/>
      <c r="B129" s="68"/>
      <c r="C129" s="68"/>
      <c r="K129" s="63"/>
      <c r="L129" s="68"/>
      <c r="M129" s="68"/>
      <c r="N129" s="63"/>
      <c r="O129" s="63"/>
      <c r="P129" s="63"/>
      <c r="Q129" s="63"/>
      <c r="R129" s="68"/>
      <c r="S129" s="63"/>
      <c r="T129" s="63"/>
      <c r="U129" s="307"/>
      <c r="V129" s="63"/>
      <c r="W129" s="63"/>
      <c r="X129" s="63"/>
      <c r="Y129" s="63"/>
      <c r="Z129" s="63"/>
      <c r="AA129" s="9"/>
      <c r="AB129" s="140"/>
      <c r="AC129" s="140"/>
      <c r="AD129" s="140"/>
      <c r="AE129" s="140"/>
    </row>
    <row r="130" spans="1:31" s="201" customFormat="1" ht="11.25" customHeight="1">
      <c r="A130" s="564"/>
      <c r="B130" s="68"/>
      <c r="C130" s="68"/>
      <c r="K130" s="63"/>
      <c r="L130" s="68"/>
      <c r="M130" s="68"/>
      <c r="N130" s="63"/>
      <c r="O130" s="63"/>
      <c r="P130" s="63"/>
      <c r="Q130" s="63"/>
      <c r="R130" s="68"/>
      <c r="S130" s="63"/>
      <c r="T130" s="63"/>
      <c r="U130" s="307"/>
      <c r="V130" s="63"/>
      <c r="W130" s="63"/>
      <c r="X130" s="63"/>
      <c r="Y130" s="63"/>
      <c r="Z130" s="63"/>
      <c r="AA130" s="9"/>
      <c r="AB130" s="140"/>
      <c r="AC130" s="140"/>
      <c r="AD130" s="140"/>
      <c r="AE130" s="140"/>
    </row>
    <row r="131" spans="1:31" s="201" customFormat="1" ht="11.25" customHeight="1">
      <c r="A131" s="564"/>
      <c r="B131" s="68"/>
      <c r="C131" s="68"/>
      <c r="K131" s="63"/>
      <c r="L131" s="68"/>
      <c r="M131" s="68"/>
      <c r="N131" s="63"/>
      <c r="O131" s="63"/>
      <c r="P131" s="63"/>
      <c r="Q131" s="63"/>
      <c r="R131" s="68"/>
      <c r="S131" s="63"/>
      <c r="T131" s="63"/>
      <c r="U131" s="307"/>
      <c r="V131" s="63"/>
      <c r="W131" s="63"/>
      <c r="X131" s="63"/>
      <c r="Y131" s="63"/>
      <c r="Z131" s="63"/>
      <c r="AA131" s="9"/>
      <c r="AB131" s="140"/>
      <c r="AC131" s="140"/>
      <c r="AD131" s="140"/>
      <c r="AE131" s="140"/>
    </row>
    <row r="132" spans="1:31" s="201" customFormat="1" ht="11.25" customHeight="1">
      <c r="A132" s="564"/>
      <c r="B132" s="68"/>
      <c r="C132" s="68"/>
      <c r="K132" s="63"/>
      <c r="L132" s="68"/>
      <c r="M132" s="68"/>
      <c r="N132" s="63"/>
      <c r="O132" s="63"/>
      <c r="P132" s="63"/>
      <c r="Q132" s="63"/>
      <c r="R132" s="68"/>
      <c r="S132" s="63"/>
      <c r="T132" s="63"/>
      <c r="U132" s="307"/>
      <c r="V132" s="63"/>
      <c r="W132" s="63"/>
      <c r="X132" s="63"/>
      <c r="Y132" s="63"/>
      <c r="Z132" s="63"/>
      <c r="AA132" s="9"/>
      <c r="AB132" s="140"/>
      <c r="AC132" s="140"/>
      <c r="AD132" s="140"/>
      <c r="AE132" s="140"/>
    </row>
    <row r="133" spans="1:31" s="201" customFormat="1" ht="11.25" customHeight="1">
      <c r="A133" s="564"/>
      <c r="B133" s="68"/>
      <c r="C133" s="68"/>
      <c r="K133" s="63"/>
      <c r="L133" s="68"/>
      <c r="M133" s="68"/>
      <c r="N133" s="63"/>
      <c r="O133" s="63"/>
      <c r="P133" s="63"/>
      <c r="Q133" s="63"/>
      <c r="R133" s="68"/>
      <c r="S133" s="63"/>
      <c r="T133" s="63"/>
      <c r="U133" s="307"/>
      <c r="V133" s="63"/>
      <c r="W133" s="63"/>
      <c r="X133" s="63"/>
      <c r="Y133" s="63"/>
      <c r="Z133" s="63"/>
      <c r="AA133" s="9"/>
      <c r="AB133" s="140"/>
      <c r="AC133" s="140"/>
      <c r="AD133" s="140"/>
      <c r="AE133" s="140"/>
    </row>
    <row r="134" spans="1:31" s="201" customFormat="1" ht="11.25" customHeight="1">
      <c r="A134" s="564"/>
      <c r="B134" s="68"/>
      <c r="C134" s="68"/>
      <c r="K134" s="63"/>
      <c r="L134" s="68"/>
      <c r="M134" s="68"/>
      <c r="N134" s="63"/>
      <c r="O134" s="63"/>
      <c r="P134" s="63"/>
      <c r="Q134" s="63"/>
      <c r="R134" s="68"/>
      <c r="S134" s="63"/>
      <c r="T134" s="63"/>
      <c r="U134" s="307"/>
      <c r="V134" s="63"/>
      <c r="W134" s="63"/>
      <c r="X134" s="63"/>
      <c r="Y134" s="63"/>
      <c r="Z134" s="63"/>
      <c r="AA134" s="9"/>
      <c r="AB134" s="140"/>
      <c r="AC134" s="140"/>
      <c r="AD134" s="140"/>
      <c r="AE134" s="140"/>
    </row>
    <row r="135" spans="1:31" s="201" customFormat="1" ht="11.25" customHeight="1">
      <c r="A135" s="564"/>
      <c r="B135" s="68"/>
      <c r="C135" s="68"/>
      <c r="K135" s="63"/>
      <c r="L135" s="68"/>
      <c r="M135" s="68"/>
      <c r="N135" s="63"/>
      <c r="O135" s="63"/>
      <c r="P135" s="63"/>
      <c r="Q135" s="63"/>
      <c r="R135" s="68"/>
      <c r="S135" s="63"/>
      <c r="T135" s="63"/>
      <c r="U135" s="307"/>
      <c r="V135" s="63"/>
      <c r="W135" s="63"/>
      <c r="X135" s="63"/>
      <c r="Y135" s="63"/>
      <c r="Z135" s="63"/>
      <c r="AA135" s="9"/>
      <c r="AB135" s="140"/>
      <c r="AC135" s="140"/>
      <c r="AD135" s="140"/>
      <c r="AE135" s="140"/>
    </row>
    <row r="136" spans="1:31" s="201" customFormat="1" ht="11.25" customHeight="1">
      <c r="A136" s="564"/>
      <c r="B136" s="68"/>
      <c r="C136" s="68"/>
      <c r="K136" s="63"/>
      <c r="L136" s="68"/>
      <c r="M136" s="68"/>
      <c r="N136" s="63"/>
      <c r="O136" s="63"/>
      <c r="P136" s="63"/>
      <c r="Q136" s="63"/>
      <c r="R136" s="68"/>
      <c r="S136" s="63"/>
      <c r="T136" s="63"/>
      <c r="U136" s="307"/>
      <c r="V136" s="63"/>
      <c r="W136" s="63"/>
      <c r="X136" s="63"/>
      <c r="Y136" s="63"/>
      <c r="Z136" s="63"/>
      <c r="AA136" s="9"/>
      <c r="AB136" s="140"/>
      <c r="AC136" s="140"/>
      <c r="AD136" s="140"/>
      <c r="AE136" s="140"/>
    </row>
    <row r="137" spans="1:31" s="201" customFormat="1" ht="11.25" customHeight="1">
      <c r="A137" s="564"/>
      <c r="B137" s="68"/>
      <c r="C137" s="68"/>
      <c r="K137" s="63"/>
      <c r="L137" s="68"/>
      <c r="M137" s="68"/>
      <c r="N137" s="63"/>
      <c r="O137" s="63"/>
      <c r="P137" s="63"/>
      <c r="Q137" s="63"/>
      <c r="R137" s="68"/>
      <c r="S137" s="63"/>
      <c r="T137" s="63"/>
      <c r="U137" s="307"/>
      <c r="V137" s="63"/>
      <c r="W137" s="63"/>
      <c r="X137" s="63"/>
      <c r="Y137" s="63"/>
      <c r="Z137" s="63"/>
      <c r="AA137" s="9"/>
      <c r="AB137" s="140"/>
      <c r="AC137" s="140"/>
      <c r="AD137" s="140"/>
      <c r="AE137" s="140"/>
    </row>
    <row r="138" spans="1:31" s="201" customFormat="1" ht="11.25" customHeight="1">
      <c r="A138" s="564"/>
      <c r="B138" s="68"/>
      <c r="C138" s="68"/>
      <c r="K138" s="63"/>
      <c r="L138" s="68"/>
      <c r="M138" s="68"/>
      <c r="N138" s="63"/>
      <c r="O138" s="63"/>
      <c r="P138" s="63"/>
      <c r="Q138" s="63"/>
      <c r="R138" s="68"/>
      <c r="S138" s="63"/>
      <c r="T138" s="63"/>
      <c r="U138" s="307"/>
      <c r="V138" s="63"/>
      <c r="W138" s="63"/>
      <c r="X138" s="63"/>
      <c r="Y138" s="63"/>
      <c r="Z138" s="63"/>
      <c r="AA138" s="9"/>
      <c r="AB138" s="140"/>
      <c r="AC138" s="140"/>
      <c r="AD138" s="140"/>
      <c r="AE138" s="140"/>
    </row>
    <row r="139" spans="1:31" s="201" customFormat="1" ht="11.25" customHeight="1">
      <c r="A139" s="564"/>
      <c r="B139" s="68"/>
      <c r="C139" s="68"/>
      <c r="K139" s="63"/>
      <c r="L139" s="68"/>
      <c r="M139" s="68"/>
      <c r="N139" s="63"/>
      <c r="O139" s="63"/>
      <c r="P139" s="63"/>
      <c r="Q139" s="63"/>
      <c r="R139" s="68"/>
      <c r="S139" s="63"/>
      <c r="T139" s="63"/>
      <c r="U139" s="307"/>
      <c r="V139" s="63"/>
      <c r="W139" s="63"/>
      <c r="X139" s="63"/>
      <c r="Y139" s="63"/>
      <c r="Z139" s="63"/>
      <c r="AA139" s="9"/>
      <c r="AB139" s="140"/>
      <c r="AC139" s="140"/>
      <c r="AD139" s="140"/>
      <c r="AE139" s="140"/>
    </row>
    <row r="140" spans="1:31" s="201" customFormat="1" ht="11.25" customHeight="1">
      <c r="A140" s="564"/>
      <c r="B140" s="68"/>
      <c r="C140" s="68"/>
      <c r="K140" s="63"/>
      <c r="L140" s="68"/>
      <c r="M140" s="68"/>
      <c r="N140" s="63"/>
      <c r="O140" s="63"/>
      <c r="P140" s="63"/>
      <c r="Q140" s="63"/>
      <c r="R140" s="68"/>
      <c r="S140" s="63"/>
      <c r="T140" s="63"/>
      <c r="U140" s="307"/>
      <c r="V140" s="63"/>
      <c r="W140" s="63"/>
      <c r="X140" s="63"/>
      <c r="Y140" s="63"/>
      <c r="Z140" s="63"/>
      <c r="AA140" s="9"/>
      <c r="AB140" s="140"/>
      <c r="AC140" s="140"/>
      <c r="AD140" s="140"/>
      <c r="AE140" s="140"/>
    </row>
    <row r="141" spans="1:31" s="201" customFormat="1" ht="11.25" customHeight="1">
      <c r="A141" s="564"/>
      <c r="B141" s="68"/>
      <c r="C141" s="68"/>
      <c r="K141" s="63"/>
      <c r="L141" s="68"/>
      <c r="M141" s="68"/>
      <c r="N141" s="63"/>
      <c r="O141" s="63"/>
      <c r="P141" s="63"/>
      <c r="Q141" s="63"/>
      <c r="R141" s="68"/>
      <c r="S141" s="63"/>
      <c r="T141" s="63"/>
      <c r="U141" s="307"/>
      <c r="V141" s="63"/>
      <c r="W141" s="63"/>
      <c r="X141" s="63"/>
      <c r="Y141" s="63"/>
      <c r="Z141" s="63"/>
      <c r="AA141" s="9"/>
      <c r="AB141" s="140"/>
      <c r="AC141" s="140"/>
      <c r="AD141" s="140"/>
      <c r="AE141" s="140"/>
    </row>
    <row r="142" spans="1:31" s="201" customFormat="1" ht="11.25" customHeight="1">
      <c r="A142" s="564"/>
      <c r="B142" s="68"/>
      <c r="C142" s="68"/>
      <c r="K142" s="63"/>
      <c r="L142" s="68"/>
      <c r="M142" s="68"/>
      <c r="N142" s="63"/>
      <c r="O142" s="63"/>
      <c r="P142" s="63"/>
      <c r="Q142" s="63"/>
      <c r="R142" s="68"/>
      <c r="S142" s="63"/>
      <c r="T142" s="63"/>
      <c r="U142" s="307"/>
      <c r="V142" s="63"/>
      <c r="W142" s="63"/>
      <c r="X142" s="63"/>
      <c r="Y142" s="63"/>
      <c r="Z142" s="63"/>
      <c r="AA142" s="9"/>
      <c r="AB142" s="140"/>
      <c r="AC142" s="140"/>
      <c r="AD142" s="140"/>
      <c r="AE142" s="140"/>
    </row>
    <row r="143" spans="1:31" s="201" customFormat="1" ht="11.25" customHeight="1">
      <c r="A143" s="564"/>
      <c r="B143" s="68"/>
      <c r="C143" s="68"/>
      <c r="K143" s="63"/>
      <c r="L143" s="68"/>
      <c r="M143" s="68"/>
      <c r="N143" s="63"/>
      <c r="O143" s="63"/>
      <c r="P143" s="63"/>
      <c r="Q143" s="63"/>
      <c r="R143" s="68"/>
      <c r="S143" s="63"/>
      <c r="T143" s="63"/>
      <c r="U143" s="307"/>
      <c r="V143" s="63"/>
      <c r="W143" s="63"/>
      <c r="X143" s="63"/>
      <c r="Y143" s="63"/>
      <c r="Z143" s="63"/>
      <c r="AA143" s="9"/>
      <c r="AB143" s="140"/>
      <c r="AC143" s="140"/>
      <c r="AD143" s="140"/>
      <c r="AE143" s="140"/>
    </row>
    <row r="144" spans="1:31" s="201" customFormat="1" ht="11.25" customHeight="1">
      <c r="A144" s="564"/>
      <c r="B144" s="68"/>
      <c r="C144" s="68"/>
      <c r="K144" s="63"/>
      <c r="L144" s="68"/>
      <c r="M144" s="68"/>
      <c r="N144" s="63"/>
      <c r="O144" s="63"/>
      <c r="P144" s="63"/>
      <c r="Q144" s="63"/>
      <c r="R144" s="68"/>
      <c r="S144" s="63"/>
      <c r="T144" s="63"/>
      <c r="U144" s="307"/>
      <c r="V144" s="63"/>
      <c r="W144" s="63"/>
      <c r="X144" s="63"/>
      <c r="Y144" s="63"/>
      <c r="Z144" s="63"/>
      <c r="AA144" s="9"/>
      <c r="AB144" s="140"/>
      <c r="AC144" s="140"/>
      <c r="AD144" s="140"/>
      <c r="AE144" s="140"/>
    </row>
    <row r="145" spans="1:31" s="201" customFormat="1" ht="11.25" customHeight="1">
      <c r="A145" s="564"/>
      <c r="B145" s="68"/>
      <c r="C145" s="68"/>
      <c r="K145" s="63"/>
      <c r="L145" s="68"/>
      <c r="M145" s="68"/>
      <c r="N145" s="63"/>
      <c r="O145" s="63"/>
      <c r="P145" s="63"/>
      <c r="Q145" s="63"/>
      <c r="R145" s="68"/>
      <c r="S145" s="63"/>
      <c r="T145" s="63"/>
      <c r="U145" s="307"/>
      <c r="V145" s="63"/>
      <c r="W145" s="63"/>
      <c r="X145" s="63"/>
      <c r="Y145" s="63"/>
      <c r="Z145" s="63"/>
      <c r="AA145" s="9"/>
      <c r="AB145" s="140"/>
      <c r="AC145" s="140"/>
      <c r="AD145" s="140"/>
      <c r="AE145" s="140"/>
    </row>
    <row r="146" spans="1:31" s="201" customFormat="1" ht="11.25" customHeight="1">
      <c r="A146" s="564"/>
      <c r="B146" s="68"/>
      <c r="C146" s="68"/>
      <c r="K146" s="63"/>
      <c r="L146" s="68"/>
      <c r="M146" s="68"/>
      <c r="N146" s="63"/>
      <c r="O146" s="63"/>
      <c r="P146" s="63"/>
      <c r="Q146" s="63"/>
      <c r="R146" s="68"/>
      <c r="S146" s="63"/>
      <c r="T146" s="63"/>
      <c r="U146" s="307"/>
      <c r="V146" s="63"/>
      <c r="W146" s="63"/>
      <c r="X146" s="63"/>
      <c r="Y146" s="63"/>
      <c r="Z146" s="63"/>
      <c r="AA146" s="9"/>
      <c r="AB146" s="140"/>
      <c r="AC146" s="140"/>
      <c r="AD146" s="140"/>
      <c r="AE146" s="140"/>
    </row>
    <row r="147" spans="1:31" s="201" customFormat="1" ht="11.25" customHeight="1">
      <c r="A147" s="564"/>
      <c r="B147" s="68"/>
      <c r="C147" s="68"/>
      <c r="K147" s="63"/>
      <c r="L147" s="68"/>
      <c r="M147" s="68"/>
      <c r="N147" s="63"/>
      <c r="O147" s="63"/>
      <c r="P147" s="63"/>
      <c r="Q147" s="63"/>
      <c r="R147" s="68"/>
      <c r="S147" s="63"/>
      <c r="T147" s="63"/>
      <c r="U147" s="307"/>
      <c r="V147" s="63"/>
      <c r="W147" s="63"/>
      <c r="X147" s="63"/>
      <c r="Y147" s="63"/>
      <c r="Z147" s="63"/>
      <c r="AA147" s="9"/>
      <c r="AB147" s="140"/>
      <c r="AC147" s="140"/>
      <c r="AD147" s="140"/>
      <c r="AE147" s="140"/>
    </row>
    <row r="148" spans="1:31" s="201" customFormat="1" ht="11.25" customHeight="1">
      <c r="A148" s="564"/>
      <c r="B148" s="68"/>
      <c r="C148" s="68"/>
      <c r="K148" s="63"/>
      <c r="L148" s="68"/>
      <c r="M148" s="68"/>
      <c r="N148" s="63"/>
      <c r="O148" s="63"/>
      <c r="P148" s="63"/>
      <c r="Q148" s="63"/>
      <c r="R148" s="68"/>
      <c r="S148" s="63"/>
      <c r="T148" s="63"/>
      <c r="U148" s="307"/>
      <c r="V148" s="63"/>
      <c r="W148" s="63"/>
      <c r="X148" s="63"/>
      <c r="Y148" s="63"/>
      <c r="Z148" s="63"/>
      <c r="AA148" s="9"/>
      <c r="AB148" s="140"/>
      <c r="AC148" s="140"/>
      <c r="AD148" s="140"/>
      <c r="AE148" s="140"/>
    </row>
    <row r="149" spans="1:31" s="201" customFormat="1" ht="11.25" customHeight="1">
      <c r="A149" s="564"/>
      <c r="B149" s="68"/>
      <c r="C149" s="68"/>
      <c r="K149" s="63"/>
      <c r="L149" s="68"/>
      <c r="M149" s="68"/>
      <c r="N149" s="63"/>
      <c r="O149" s="63"/>
      <c r="P149" s="63"/>
      <c r="Q149" s="63"/>
      <c r="R149" s="68"/>
      <c r="S149" s="63"/>
      <c r="T149" s="63"/>
      <c r="U149" s="307"/>
      <c r="V149" s="63"/>
      <c r="W149" s="63"/>
      <c r="X149" s="63"/>
      <c r="Y149" s="63"/>
      <c r="Z149" s="63"/>
      <c r="AA149" s="9"/>
      <c r="AB149" s="140"/>
      <c r="AC149" s="140"/>
      <c r="AD149" s="140"/>
      <c r="AE149" s="140"/>
    </row>
    <row r="150" spans="1:31" s="201" customFormat="1" ht="11.25" customHeight="1">
      <c r="A150" s="564"/>
      <c r="B150" s="68"/>
      <c r="C150" s="68"/>
      <c r="K150" s="63"/>
      <c r="L150" s="68"/>
      <c r="M150" s="68"/>
      <c r="N150" s="63"/>
      <c r="O150" s="63"/>
      <c r="P150" s="63"/>
      <c r="Q150" s="63"/>
      <c r="R150" s="68"/>
      <c r="S150" s="63"/>
      <c r="T150" s="63"/>
      <c r="U150" s="307"/>
      <c r="V150" s="63"/>
      <c r="W150" s="63"/>
      <c r="X150" s="63"/>
      <c r="Y150" s="63"/>
      <c r="Z150" s="63"/>
      <c r="AA150" s="9"/>
      <c r="AB150" s="140"/>
      <c r="AC150" s="140"/>
      <c r="AD150" s="140"/>
      <c r="AE150" s="140"/>
    </row>
    <row r="151" spans="1:31" s="201" customFormat="1" ht="11.25" customHeight="1">
      <c r="A151" s="564"/>
      <c r="B151" s="68"/>
      <c r="C151" s="68"/>
      <c r="K151" s="63"/>
      <c r="L151" s="68"/>
      <c r="M151" s="68"/>
      <c r="N151" s="63"/>
      <c r="O151" s="63"/>
      <c r="P151" s="63"/>
      <c r="Q151" s="63"/>
      <c r="R151" s="68"/>
      <c r="S151" s="63"/>
      <c r="T151" s="63"/>
      <c r="U151" s="307"/>
      <c r="V151" s="63"/>
      <c r="W151" s="63"/>
      <c r="X151" s="63"/>
      <c r="Y151" s="63"/>
      <c r="Z151" s="63"/>
      <c r="AA151" s="9"/>
      <c r="AB151" s="140"/>
      <c r="AC151" s="140"/>
      <c r="AD151" s="140"/>
      <c r="AE151" s="140"/>
    </row>
    <row r="152" spans="1:31" s="201" customFormat="1" ht="11.25" customHeight="1">
      <c r="A152" s="564"/>
      <c r="B152" s="68"/>
      <c r="C152" s="68"/>
      <c r="K152" s="63"/>
      <c r="L152" s="68"/>
      <c r="M152" s="68"/>
      <c r="N152" s="63"/>
      <c r="O152" s="63"/>
      <c r="P152" s="63"/>
      <c r="Q152" s="63"/>
      <c r="R152" s="68"/>
      <c r="S152" s="63"/>
      <c r="T152" s="63"/>
      <c r="U152" s="307"/>
      <c r="V152" s="63"/>
      <c r="W152" s="63"/>
      <c r="X152" s="63"/>
      <c r="Y152" s="63"/>
      <c r="Z152" s="63"/>
      <c r="AA152" s="9"/>
      <c r="AB152" s="140"/>
      <c r="AC152" s="140"/>
      <c r="AD152" s="140"/>
      <c r="AE152" s="140"/>
    </row>
    <row r="153" spans="1:31" s="201" customFormat="1" ht="11.25" customHeight="1">
      <c r="A153" s="564"/>
      <c r="B153" s="68"/>
      <c r="C153" s="68"/>
      <c r="K153" s="63"/>
      <c r="L153" s="68"/>
      <c r="M153" s="68"/>
      <c r="N153" s="63"/>
      <c r="O153" s="63"/>
      <c r="P153" s="63"/>
      <c r="Q153" s="63"/>
      <c r="R153" s="68"/>
      <c r="S153" s="63"/>
      <c r="T153" s="63"/>
      <c r="U153" s="307"/>
      <c r="V153" s="63"/>
      <c r="W153" s="63"/>
      <c r="X153" s="63"/>
      <c r="Y153" s="63"/>
      <c r="Z153" s="63"/>
      <c r="AA153" s="9"/>
      <c r="AB153" s="140"/>
      <c r="AC153" s="140"/>
      <c r="AD153" s="140"/>
      <c r="AE153" s="140"/>
    </row>
    <row r="154" spans="1:31" s="201" customFormat="1" ht="11.25" customHeight="1">
      <c r="A154" s="564"/>
      <c r="B154" s="68"/>
      <c r="C154" s="68"/>
      <c r="K154" s="63"/>
      <c r="L154" s="68"/>
      <c r="M154" s="68"/>
      <c r="N154" s="63"/>
      <c r="O154" s="63"/>
      <c r="P154" s="63"/>
      <c r="Q154" s="63"/>
      <c r="R154" s="68"/>
      <c r="S154" s="63"/>
      <c r="T154" s="63"/>
      <c r="U154" s="307"/>
      <c r="V154" s="63"/>
      <c r="W154" s="63"/>
      <c r="X154" s="63"/>
      <c r="Y154" s="63"/>
      <c r="Z154" s="63"/>
      <c r="AA154" s="9"/>
      <c r="AB154" s="140"/>
      <c r="AC154" s="140"/>
      <c r="AD154" s="140"/>
      <c r="AE154" s="140"/>
    </row>
    <row r="155" spans="1:31" s="201" customFormat="1" ht="11.25" customHeight="1">
      <c r="A155" s="564"/>
      <c r="B155" s="68"/>
      <c r="C155" s="68"/>
      <c r="K155" s="63"/>
      <c r="L155" s="68"/>
      <c r="M155" s="68"/>
      <c r="N155" s="63"/>
      <c r="O155" s="63"/>
      <c r="P155" s="63"/>
      <c r="Q155" s="63"/>
      <c r="R155" s="68"/>
      <c r="S155" s="63"/>
      <c r="T155" s="63"/>
      <c r="U155" s="307"/>
      <c r="V155" s="63"/>
      <c r="W155" s="63"/>
      <c r="X155" s="63"/>
      <c r="Y155" s="63"/>
      <c r="Z155" s="63"/>
      <c r="AA155" s="9"/>
      <c r="AB155" s="140"/>
      <c r="AC155" s="140"/>
      <c r="AD155" s="140"/>
      <c r="AE155" s="140"/>
    </row>
    <row r="156" spans="1:31" s="201" customFormat="1" ht="11.25" customHeight="1">
      <c r="A156" s="564"/>
      <c r="B156" s="68"/>
      <c r="C156" s="68"/>
      <c r="K156" s="63"/>
      <c r="L156" s="68"/>
      <c r="M156" s="68"/>
      <c r="N156" s="63"/>
      <c r="O156" s="63"/>
      <c r="P156" s="63"/>
      <c r="Q156" s="63"/>
      <c r="R156" s="68"/>
      <c r="S156" s="63"/>
      <c r="T156" s="63"/>
      <c r="U156" s="307"/>
      <c r="V156" s="63"/>
      <c r="W156" s="63"/>
      <c r="X156" s="63"/>
      <c r="Y156" s="63"/>
      <c r="Z156" s="63"/>
      <c r="AA156" s="9"/>
      <c r="AB156" s="140"/>
      <c r="AC156" s="140"/>
      <c r="AD156" s="140"/>
      <c r="AE156" s="140"/>
    </row>
    <row r="157" spans="1:31" s="201" customFormat="1" ht="11.25" customHeight="1">
      <c r="A157" s="564"/>
      <c r="B157" s="68"/>
      <c r="C157" s="68"/>
      <c r="K157" s="63"/>
      <c r="L157" s="68"/>
      <c r="M157" s="68"/>
      <c r="N157" s="63"/>
      <c r="O157" s="63"/>
      <c r="P157" s="63"/>
      <c r="Q157" s="63"/>
      <c r="R157" s="68"/>
      <c r="S157" s="63"/>
      <c r="T157" s="63"/>
      <c r="U157" s="307"/>
      <c r="V157" s="63"/>
      <c r="W157" s="63"/>
      <c r="X157" s="63"/>
      <c r="Y157" s="63"/>
      <c r="Z157" s="63"/>
      <c r="AA157" s="9"/>
      <c r="AB157" s="140"/>
      <c r="AC157" s="140"/>
      <c r="AD157" s="140"/>
      <c r="AE157" s="140"/>
    </row>
    <row r="158" spans="1:31" s="201" customFormat="1" ht="11.25" customHeight="1">
      <c r="A158" s="564"/>
      <c r="B158" s="68"/>
      <c r="C158" s="68"/>
      <c r="K158" s="63"/>
      <c r="L158" s="68"/>
      <c r="M158" s="68"/>
      <c r="N158" s="63"/>
      <c r="O158" s="63"/>
      <c r="P158" s="63"/>
      <c r="Q158" s="63"/>
      <c r="R158" s="68"/>
      <c r="S158" s="63"/>
      <c r="T158" s="63"/>
      <c r="U158" s="307"/>
      <c r="V158" s="63"/>
      <c r="W158" s="63"/>
      <c r="X158" s="63"/>
      <c r="Y158" s="63"/>
      <c r="Z158" s="63"/>
      <c r="AA158" s="9"/>
      <c r="AB158" s="140"/>
      <c r="AC158" s="140"/>
      <c r="AD158" s="140"/>
      <c r="AE158" s="140"/>
    </row>
    <row r="159" spans="1:31" s="201" customFormat="1" ht="11.25" customHeight="1">
      <c r="A159" s="564"/>
      <c r="B159" s="68"/>
      <c r="C159" s="68"/>
      <c r="K159" s="63"/>
      <c r="L159" s="68"/>
      <c r="M159" s="68"/>
      <c r="N159" s="63"/>
      <c r="O159" s="63"/>
      <c r="P159" s="63"/>
      <c r="Q159" s="63"/>
      <c r="R159" s="68"/>
      <c r="S159" s="63"/>
      <c r="T159" s="63"/>
      <c r="U159" s="307"/>
      <c r="V159" s="63"/>
      <c r="W159" s="63"/>
      <c r="X159" s="63"/>
      <c r="Y159" s="63"/>
      <c r="Z159" s="63"/>
      <c r="AA159" s="9"/>
      <c r="AB159" s="140"/>
      <c r="AC159" s="140"/>
      <c r="AD159" s="140"/>
      <c r="AE159" s="140"/>
    </row>
    <row r="160" spans="1:31" s="201" customFormat="1" ht="11.25" customHeight="1">
      <c r="A160" s="564"/>
      <c r="B160" s="68"/>
      <c r="C160" s="68"/>
      <c r="K160" s="63"/>
      <c r="L160" s="68"/>
      <c r="M160" s="68"/>
      <c r="N160" s="63"/>
      <c r="O160" s="63"/>
      <c r="P160" s="63"/>
      <c r="Q160" s="63"/>
      <c r="R160" s="68"/>
      <c r="S160" s="63"/>
      <c r="T160" s="63"/>
      <c r="U160" s="307"/>
      <c r="V160" s="63"/>
      <c r="W160" s="63"/>
      <c r="X160" s="63"/>
      <c r="Y160" s="63"/>
      <c r="Z160" s="63"/>
      <c r="AA160" s="9"/>
      <c r="AB160" s="140"/>
      <c r="AC160" s="140"/>
      <c r="AD160" s="140"/>
      <c r="AE160" s="140"/>
    </row>
    <row r="161" spans="1:31" s="201" customFormat="1" ht="11.25" customHeight="1">
      <c r="A161" s="564"/>
      <c r="B161" s="68"/>
      <c r="C161" s="68"/>
      <c r="K161" s="63"/>
      <c r="L161" s="68"/>
      <c r="M161" s="68"/>
      <c r="N161" s="63"/>
      <c r="O161" s="63"/>
      <c r="P161" s="63"/>
      <c r="Q161" s="63"/>
      <c r="R161" s="68"/>
      <c r="S161" s="63"/>
      <c r="T161" s="63"/>
      <c r="U161" s="307"/>
      <c r="V161" s="63"/>
      <c r="W161" s="63"/>
      <c r="X161" s="63"/>
      <c r="Y161" s="63"/>
      <c r="Z161" s="63"/>
      <c r="AA161" s="9"/>
      <c r="AB161" s="140"/>
      <c r="AC161" s="140"/>
      <c r="AD161" s="140"/>
      <c r="AE161" s="140"/>
    </row>
    <row r="162" spans="1:31" s="201" customFormat="1" ht="11.25" customHeight="1">
      <c r="A162" s="564"/>
      <c r="B162" s="68"/>
      <c r="C162" s="68"/>
      <c r="K162" s="63"/>
      <c r="L162" s="68"/>
      <c r="M162" s="68"/>
      <c r="N162" s="63"/>
      <c r="O162" s="63"/>
      <c r="P162" s="63"/>
      <c r="Q162" s="63"/>
      <c r="R162" s="68"/>
      <c r="S162" s="63"/>
      <c r="T162" s="63"/>
      <c r="U162" s="307"/>
      <c r="V162" s="63"/>
      <c r="W162" s="63"/>
      <c r="X162" s="63"/>
      <c r="Y162" s="63"/>
      <c r="Z162" s="63"/>
      <c r="AA162" s="9"/>
      <c r="AB162" s="140"/>
      <c r="AC162" s="140"/>
      <c r="AD162" s="140"/>
      <c r="AE162" s="140"/>
    </row>
    <row r="163" spans="1:31" s="201" customFormat="1" ht="11.25" customHeight="1">
      <c r="A163" s="564"/>
      <c r="B163" s="68"/>
      <c r="C163" s="68"/>
      <c r="K163" s="63"/>
      <c r="L163" s="68"/>
      <c r="M163" s="68"/>
      <c r="N163" s="63"/>
      <c r="O163" s="63"/>
      <c r="P163" s="63"/>
      <c r="Q163" s="63"/>
      <c r="R163" s="68"/>
      <c r="S163" s="63"/>
      <c r="T163" s="63"/>
      <c r="U163" s="307"/>
      <c r="V163" s="63"/>
      <c r="W163" s="63"/>
      <c r="X163" s="63"/>
      <c r="Y163" s="63"/>
      <c r="Z163" s="63"/>
      <c r="AA163" s="9"/>
      <c r="AB163" s="140"/>
      <c r="AC163" s="140"/>
      <c r="AD163" s="140"/>
      <c r="AE163" s="140"/>
    </row>
    <row r="164" spans="1:31" s="201" customFormat="1" ht="11.25" customHeight="1">
      <c r="A164" s="564"/>
      <c r="B164" s="68"/>
      <c r="C164" s="68"/>
      <c r="K164" s="63"/>
      <c r="L164" s="68"/>
      <c r="M164" s="68"/>
      <c r="N164" s="63"/>
      <c r="O164" s="63"/>
      <c r="P164" s="63"/>
      <c r="Q164" s="63"/>
      <c r="R164" s="68"/>
      <c r="S164" s="63"/>
      <c r="T164" s="63"/>
      <c r="U164" s="307"/>
      <c r="V164" s="63"/>
      <c r="W164" s="63"/>
      <c r="X164" s="63"/>
      <c r="Y164" s="63"/>
      <c r="Z164" s="63"/>
      <c r="AA164" s="9"/>
      <c r="AB164" s="140"/>
      <c r="AC164" s="140"/>
      <c r="AD164" s="140"/>
      <c r="AE164" s="140"/>
    </row>
    <row r="165" spans="1:31" s="201" customFormat="1" ht="11.25" customHeight="1">
      <c r="A165" s="564"/>
      <c r="B165" s="68"/>
      <c r="C165" s="68"/>
      <c r="K165" s="63"/>
      <c r="L165" s="68"/>
      <c r="M165" s="68"/>
      <c r="N165" s="63"/>
      <c r="O165" s="63"/>
      <c r="P165" s="63"/>
      <c r="Q165" s="63"/>
      <c r="R165" s="68"/>
      <c r="S165" s="63"/>
      <c r="T165" s="63"/>
      <c r="U165" s="307"/>
      <c r="V165" s="63"/>
      <c r="W165" s="63"/>
      <c r="X165" s="63"/>
      <c r="Y165" s="63"/>
      <c r="Z165" s="63"/>
      <c r="AA165" s="9"/>
      <c r="AB165" s="140"/>
      <c r="AC165" s="140"/>
      <c r="AD165" s="140"/>
      <c r="AE165" s="140"/>
    </row>
    <row r="166" spans="1:31" s="201" customFormat="1" ht="11.25" customHeight="1">
      <c r="A166" s="564"/>
      <c r="B166" s="68"/>
      <c r="C166" s="68"/>
      <c r="K166" s="63"/>
      <c r="L166" s="68"/>
      <c r="M166" s="68"/>
      <c r="N166" s="63"/>
      <c r="O166" s="63"/>
      <c r="P166" s="63"/>
      <c r="Q166" s="63"/>
      <c r="R166" s="68"/>
      <c r="S166" s="63"/>
      <c r="T166" s="63"/>
      <c r="U166" s="307"/>
      <c r="V166" s="63"/>
      <c r="W166" s="63"/>
      <c r="X166" s="63"/>
      <c r="Y166" s="63"/>
      <c r="Z166" s="63"/>
      <c r="AA166" s="9"/>
      <c r="AB166" s="140"/>
      <c r="AC166" s="140"/>
      <c r="AD166" s="140"/>
      <c r="AE166" s="140"/>
    </row>
    <row r="167" spans="1:31" s="201" customFormat="1" ht="11.25" customHeight="1">
      <c r="A167" s="564"/>
      <c r="B167" s="68"/>
      <c r="C167" s="68"/>
      <c r="K167" s="63"/>
      <c r="L167" s="68"/>
      <c r="M167" s="68"/>
      <c r="N167" s="63"/>
      <c r="O167" s="63"/>
      <c r="P167" s="63"/>
      <c r="Q167" s="63"/>
      <c r="R167" s="68"/>
      <c r="S167" s="63"/>
      <c r="T167" s="63"/>
      <c r="U167" s="307"/>
      <c r="V167" s="63"/>
      <c r="W167" s="63"/>
      <c r="X167" s="63"/>
      <c r="Y167" s="63"/>
      <c r="Z167" s="63"/>
      <c r="AA167" s="9"/>
      <c r="AB167" s="140"/>
      <c r="AC167" s="140"/>
      <c r="AD167" s="140"/>
      <c r="AE167" s="140"/>
    </row>
    <row r="168" spans="1:31" s="201" customFormat="1" ht="11.25" customHeight="1">
      <c r="A168" s="564"/>
      <c r="B168" s="68"/>
      <c r="C168" s="68"/>
      <c r="K168" s="63"/>
      <c r="L168" s="68"/>
      <c r="M168" s="68"/>
      <c r="N168" s="63"/>
      <c r="O168" s="63"/>
      <c r="P168" s="63"/>
      <c r="Q168" s="63"/>
      <c r="R168" s="68"/>
      <c r="S168" s="63"/>
      <c r="T168" s="63"/>
      <c r="U168" s="307"/>
      <c r="V168" s="63"/>
      <c r="W168" s="63"/>
      <c r="X168" s="63"/>
      <c r="Y168" s="63"/>
      <c r="Z168" s="63"/>
      <c r="AA168" s="9"/>
      <c r="AB168" s="140"/>
      <c r="AC168" s="140"/>
      <c r="AD168" s="140"/>
      <c r="AE168" s="140"/>
    </row>
    <row r="169" spans="1:31" s="201" customFormat="1" ht="11.25" customHeight="1">
      <c r="A169" s="564"/>
      <c r="B169" s="68"/>
      <c r="C169" s="68"/>
      <c r="K169" s="63"/>
      <c r="L169" s="68"/>
      <c r="M169" s="68"/>
      <c r="N169" s="63"/>
      <c r="O169" s="63"/>
      <c r="P169" s="63"/>
      <c r="Q169" s="63"/>
      <c r="R169" s="68"/>
      <c r="S169" s="63"/>
      <c r="T169" s="63"/>
      <c r="U169" s="307"/>
      <c r="V169" s="63"/>
      <c r="W169" s="63"/>
      <c r="X169" s="63"/>
      <c r="Y169" s="63"/>
      <c r="Z169" s="63"/>
      <c r="AA169" s="9"/>
      <c r="AB169" s="140"/>
      <c r="AC169" s="140"/>
      <c r="AD169" s="140"/>
      <c r="AE169" s="140"/>
    </row>
    <row r="170" spans="1:31" s="201" customFormat="1" ht="11.25" customHeight="1">
      <c r="A170" s="564"/>
      <c r="B170" s="68"/>
      <c r="C170" s="68"/>
      <c r="K170" s="63"/>
      <c r="L170" s="68"/>
      <c r="M170" s="68"/>
      <c r="N170" s="63"/>
      <c r="O170" s="63"/>
      <c r="P170" s="63"/>
      <c r="Q170" s="63"/>
      <c r="R170" s="68"/>
      <c r="S170" s="63"/>
      <c r="T170" s="63"/>
      <c r="U170" s="307"/>
      <c r="V170" s="63"/>
      <c r="W170" s="63"/>
      <c r="X170" s="63"/>
      <c r="Y170" s="63"/>
      <c r="Z170" s="63"/>
      <c r="AA170" s="9"/>
      <c r="AB170" s="140"/>
      <c r="AC170" s="140"/>
      <c r="AD170" s="140"/>
      <c r="AE170" s="140"/>
    </row>
    <row r="171" spans="1:31" s="201" customFormat="1" ht="11.25" customHeight="1">
      <c r="A171" s="564"/>
      <c r="B171" s="68"/>
      <c r="C171" s="68"/>
      <c r="K171" s="63"/>
      <c r="L171" s="68"/>
      <c r="M171" s="68"/>
      <c r="N171" s="63"/>
      <c r="O171" s="63"/>
      <c r="P171" s="63"/>
      <c r="Q171" s="63"/>
      <c r="R171" s="68"/>
      <c r="S171" s="63"/>
      <c r="T171" s="63"/>
      <c r="U171" s="307"/>
      <c r="V171" s="63"/>
      <c r="W171" s="63"/>
      <c r="X171" s="63"/>
      <c r="Y171" s="63"/>
      <c r="Z171" s="63"/>
      <c r="AA171" s="9"/>
      <c r="AB171" s="140"/>
      <c r="AC171" s="140"/>
      <c r="AD171" s="140"/>
      <c r="AE171" s="140"/>
    </row>
    <row r="172" spans="1:31" s="201" customFormat="1" ht="11.25" customHeight="1">
      <c r="A172" s="564"/>
      <c r="B172" s="68"/>
      <c r="C172" s="68"/>
      <c r="K172" s="63"/>
      <c r="L172" s="68"/>
      <c r="M172" s="68"/>
      <c r="N172" s="63"/>
      <c r="O172" s="63"/>
      <c r="P172" s="63"/>
      <c r="Q172" s="63"/>
      <c r="R172" s="68"/>
      <c r="S172" s="63"/>
      <c r="T172" s="63"/>
      <c r="U172" s="307"/>
      <c r="V172" s="63"/>
      <c r="W172" s="63"/>
      <c r="X172" s="63"/>
      <c r="Y172" s="63"/>
      <c r="Z172" s="63"/>
      <c r="AA172" s="9"/>
      <c r="AB172" s="140"/>
      <c r="AC172" s="140"/>
      <c r="AD172" s="140"/>
      <c r="AE172" s="140"/>
    </row>
    <row r="173" spans="1:31" s="201" customFormat="1" ht="11.25" customHeight="1">
      <c r="A173" s="564"/>
      <c r="B173" s="68"/>
      <c r="C173" s="68"/>
      <c r="K173" s="63"/>
      <c r="L173" s="68"/>
      <c r="M173" s="68"/>
      <c r="N173" s="63"/>
      <c r="O173" s="63"/>
      <c r="P173" s="63"/>
      <c r="Q173" s="63"/>
      <c r="R173" s="68"/>
      <c r="S173" s="63"/>
      <c r="T173" s="63"/>
      <c r="U173" s="307"/>
      <c r="V173" s="63"/>
      <c r="W173" s="63"/>
      <c r="X173" s="63"/>
      <c r="Y173" s="63"/>
      <c r="Z173" s="63"/>
      <c r="AA173" s="9"/>
      <c r="AB173" s="140"/>
      <c r="AC173" s="140"/>
      <c r="AD173" s="140"/>
      <c r="AE173" s="140"/>
    </row>
    <row r="174" spans="1:31" s="201" customFormat="1" ht="11.25" customHeight="1">
      <c r="A174" s="564"/>
      <c r="B174" s="68"/>
      <c r="C174" s="68"/>
      <c r="K174" s="63"/>
      <c r="L174" s="68"/>
      <c r="M174" s="68"/>
      <c r="N174" s="63"/>
      <c r="O174" s="63"/>
      <c r="P174" s="63"/>
      <c r="Q174" s="63"/>
      <c r="R174" s="68"/>
      <c r="S174" s="63"/>
      <c r="T174" s="63"/>
      <c r="U174" s="307"/>
      <c r="V174" s="63"/>
      <c r="W174" s="63"/>
      <c r="X174" s="63"/>
      <c r="Y174" s="63"/>
      <c r="Z174" s="63"/>
      <c r="AA174" s="9"/>
      <c r="AB174" s="140"/>
      <c r="AC174" s="140"/>
      <c r="AD174" s="140"/>
      <c r="AE174" s="140"/>
    </row>
    <row r="175" spans="1:31" s="201" customFormat="1" ht="11.25" customHeight="1">
      <c r="A175" s="564"/>
      <c r="B175" s="68"/>
      <c r="C175" s="68"/>
      <c r="K175" s="63"/>
      <c r="L175" s="68"/>
      <c r="M175" s="68"/>
      <c r="N175" s="63"/>
      <c r="O175" s="63"/>
      <c r="P175" s="63"/>
      <c r="Q175" s="63"/>
      <c r="R175" s="68"/>
      <c r="S175" s="63"/>
      <c r="T175" s="63"/>
      <c r="U175" s="307"/>
      <c r="V175" s="63"/>
      <c r="W175" s="63"/>
      <c r="X175" s="63"/>
      <c r="Y175" s="63"/>
      <c r="Z175" s="63"/>
      <c r="AA175" s="9"/>
      <c r="AB175" s="140"/>
      <c r="AC175" s="140"/>
      <c r="AD175" s="140"/>
      <c r="AE175" s="140"/>
    </row>
    <row r="176" spans="1:31" s="201" customFormat="1" ht="11.25" customHeight="1">
      <c r="A176" s="564"/>
      <c r="B176" s="68"/>
      <c r="C176" s="68"/>
      <c r="K176" s="63"/>
      <c r="L176" s="68"/>
      <c r="M176" s="68"/>
      <c r="N176" s="63"/>
      <c r="O176" s="63"/>
      <c r="P176" s="63"/>
      <c r="Q176" s="63"/>
      <c r="R176" s="68"/>
      <c r="S176" s="63"/>
      <c r="T176" s="63"/>
      <c r="U176" s="307"/>
      <c r="V176" s="63"/>
      <c r="W176" s="63"/>
      <c r="X176" s="63"/>
      <c r="Y176" s="63"/>
      <c r="Z176" s="63"/>
      <c r="AA176" s="9"/>
      <c r="AB176" s="140"/>
      <c r="AC176" s="140"/>
      <c r="AD176" s="140"/>
      <c r="AE176" s="140"/>
    </row>
    <row r="177" spans="1:31" s="201" customFormat="1" ht="11.25" customHeight="1">
      <c r="A177" s="564"/>
      <c r="B177" s="68"/>
      <c r="C177" s="68"/>
      <c r="K177" s="63"/>
      <c r="L177" s="68"/>
      <c r="M177" s="68"/>
      <c r="N177" s="63"/>
      <c r="O177" s="63"/>
      <c r="P177" s="63"/>
      <c r="Q177" s="63"/>
      <c r="R177" s="68"/>
      <c r="S177" s="63"/>
      <c r="T177" s="63"/>
      <c r="U177" s="307"/>
      <c r="V177" s="63"/>
      <c r="W177" s="63"/>
      <c r="X177" s="63"/>
      <c r="Y177" s="63"/>
      <c r="Z177" s="63"/>
      <c r="AA177" s="9"/>
      <c r="AB177" s="140"/>
      <c r="AC177" s="140"/>
      <c r="AD177" s="140"/>
      <c r="AE177" s="140"/>
    </row>
    <row r="178" spans="1:31" s="201" customFormat="1" ht="11.25" customHeight="1">
      <c r="A178" s="564"/>
      <c r="B178" s="68"/>
      <c r="C178" s="68"/>
      <c r="K178" s="63"/>
      <c r="L178" s="68"/>
      <c r="M178" s="68"/>
      <c r="N178" s="63"/>
      <c r="O178" s="63"/>
      <c r="P178" s="63"/>
      <c r="Q178" s="63"/>
      <c r="R178" s="68"/>
      <c r="S178" s="63"/>
      <c r="T178" s="63"/>
      <c r="U178" s="307"/>
      <c r="V178" s="63"/>
      <c r="W178" s="63"/>
      <c r="X178" s="63"/>
      <c r="Y178" s="63"/>
      <c r="Z178" s="63"/>
      <c r="AA178" s="9"/>
      <c r="AB178" s="140"/>
      <c r="AC178" s="140"/>
      <c r="AD178" s="140"/>
      <c r="AE178" s="140"/>
    </row>
    <row r="179" spans="1:31" s="201" customFormat="1" ht="11.25" customHeight="1">
      <c r="A179" s="564"/>
      <c r="B179" s="68"/>
      <c r="C179" s="68"/>
      <c r="K179" s="63"/>
      <c r="L179" s="68"/>
      <c r="M179" s="68"/>
      <c r="N179" s="63"/>
      <c r="O179" s="63"/>
      <c r="P179" s="63"/>
      <c r="Q179" s="63"/>
      <c r="R179" s="68"/>
      <c r="S179" s="63"/>
      <c r="T179" s="63"/>
      <c r="U179" s="307"/>
      <c r="V179" s="63"/>
      <c r="W179" s="63"/>
      <c r="X179" s="63"/>
      <c r="Y179" s="63"/>
      <c r="Z179" s="63"/>
      <c r="AA179" s="9"/>
      <c r="AB179" s="140"/>
      <c r="AC179" s="140"/>
      <c r="AD179" s="140"/>
      <c r="AE179" s="140"/>
    </row>
    <row r="180" spans="1:31" s="201" customFormat="1" ht="11.25" customHeight="1">
      <c r="A180" s="564"/>
      <c r="B180" s="68"/>
      <c r="C180" s="68"/>
      <c r="K180" s="63"/>
      <c r="L180" s="68"/>
      <c r="M180" s="68"/>
      <c r="N180" s="63"/>
      <c r="O180" s="63"/>
      <c r="P180" s="63"/>
      <c r="Q180" s="63"/>
      <c r="R180" s="68"/>
      <c r="S180" s="63"/>
      <c r="T180" s="63"/>
      <c r="U180" s="307"/>
      <c r="V180" s="63"/>
      <c r="W180" s="63"/>
      <c r="X180" s="63"/>
      <c r="Y180" s="63"/>
      <c r="Z180" s="63"/>
      <c r="AA180" s="9"/>
      <c r="AB180" s="140"/>
      <c r="AC180" s="140"/>
      <c r="AD180" s="140"/>
      <c r="AE180" s="140"/>
    </row>
    <row r="181" spans="1:31" s="201" customFormat="1" ht="11.25" customHeight="1">
      <c r="A181" s="564"/>
      <c r="B181" s="68"/>
      <c r="C181" s="68"/>
      <c r="K181" s="63"/>
      <c r="L181" s="68"/>
      <c r="M181" s="68"/>
      <c r="N181" s="63"/>
      <c r="O181" s="63"/>
      <c r="P181" s="63"/>
      <c r="Q181" s="63"/>
      <c r="R181" s="68"/>
      <c r="S181" s="63"/>
      <c r="T181" s="63"/>
      <c r="U181" s="307"/>
      <c r="V181" s="63"/>
      <c r="W181" s="63"/>
      <c r="X181" s="63"/>
      <c r="Y181" s="63"/>
      <c r="Z181" s="63"/>
      <c r="AA181" s="9"/>
      <c r="AB181" s="140"/>
      <c r="AC181" s="140"/>
      <c r="AD181" s="140"/>
      <c r="AE181" s="140"/>
    </row>
    <row r="182" spans="1:31" s="201" customFormat="1" ht="11.25" customHeight="1">
      <c r="A182" s="564"/>
      <c r="B182" s="68"/>
      <c r="C182" s="68"/>
      <c r="K182" s="63"/>
      <c r="L182" s="68"/>
      <c r="M182" s="68"/>
      <c r="N182" s="63"/>
      <c r="O182" s="63"/>
      <c r="P182" s="63"/>
      <c r="Q182" s="63"/>
      <c r="R182" s="68"/>
      <c r="S182" s="63"/>
      <c r="T182" s="63"/>
      <c r="U182" s="307"/>
      <c r="V182" s="63"/>
      <c r="W182" s="63"/>
      <c r="X182" s="63"/>
      <c r="Y182" s="63"/>
      <c r="Z182" s="63"/>
      <c r="AA182" s="9"/>
      <c r="AB182" s="140"/>
      <c r="AC182" s="140"/>
      <c r="AD182" s="140"/>
      <c r="AE182" s="140"/>
    </row>
    <row r="183" spans="1:31" s="201" customFormat="1" ht="11.25" customHeight="1">
      <c r="A183" s="564"/>
      <c r="B183" s="68"/>
      <c r="C183" s="68"/>
      <c r="K183" s="63"/>
      <c r="L183" s="68"/>
      <c r="M183" s="68"/>
      <c r="N183" s="63"/>
      <c r="O183" s="63"/>
      <c r="P183" s="63"/>
      <c r="Q183" s="63"/>
      <c r="R183" s="68"/>
      <c r="S183" s="63"/>
      <c r="T183" s="63"/>
      <c r="U183" s="307"/>
      <c r="V183" s="63"/>
      <c r="W183" s="63"/>
      <c r="X183" s="63"/>
      <c r="Y183" s="63"/>
      <c r="Z183" s="63"/>
      <c r="AA183" s="9"/>
      <c r="AB183" s="140"/>
      <c r="AC183" s="140"/>
      <c r="AD183" s="140"/>
      <c r="AE183" s="140"/>
    </row>
    <row r="184" spans="1:31" s="201" customFormat="1" ht="11.25" customHeight="1">
      <c r="A184" s="564"/>
      <c r="B184" s="68"/>
      <c r="C184" s="68"/>
      <c r="K184" s="63"/>
      <c r="L184" s="68"/>
      <c r="M184" s="68"/>
      <c r="N184" s="63"/>
      <c r="O184" s="63"/>
      <c r="P184" s="63"/>
      <c r="Q184" s="63"/>
      <c r="R184" s="68"/>
      <c r="S184" s="63"/>
      <c r="T184" s="63"/>
      <c r="U184" s="307"/>
      <c r="V184" s="63"/>
      <c r="W184" s="63"/>
      <c r="X184" s="63"/>
      <c r="Y184" s="63"/>
      <c r="Z184" s="63"/>
      <c r="AA184" s="9"/>
      <c r="AB184" s="140"/>
      <c r="AC184" s="140"/>
      <c r="AD184" s="140"/>
      <c r="AE184" s="140"/>
    </row>
    <row r="185" spans="1:31" s="201" customFormat="1" ht="11.25" customHeight="1">
      <c r="A185" s="564"/>
      <c r="B185" s="68"/>
      <c r="C185" s="68"/>
      <c r="K185" s="63"/>
      <c r="L185" s="68"/>
      <c r="M185" s="68"/>
      <c r="N185" s="63"/>
      <c r="O185" s="63"/>
      <c r="P185" s="63"/>
      <c r="Q185" s="63"/>
      <c r="R185" s="68"/>
      <c r="S185" s="63"/>
      <c r="T185" s="63"/>
      <c r="U185" s="307"/>
      <c r="V185" s="63"/>
      <c r="W185" s="63"/>
      <c r="X185" s="63"/>
      <c r="Y185" s="63"/>
      <c r="Z185" s="63"/>
      <c r="AA185" s="9"/>
      <c r="AB185" s="140"/>
      <c r="AC185" s="140"/>
      <c r="AD185" s="140"/>
      <c r="AE185" s="140"/>
    </row>
    <row r="186" spans="1:31" s="201" customFormat="1" ht="11.25" customHeight="1">
      <c r="A186" s="564"/>
      <c r="B186" s="68"/>
      <c r="C186" s="68"/>
      <c r="K186" s="63"/>
      <c r="L186" s="68"/>
      <c r="M186" s="68"/>
      <c r="N186" s="63"/>
      <c r="O186" s="63"/>
      <c r="P186" s="63"/>
      <c r="Q186" s="63"/>
      <c r="R186" s="68"/>
      <c r="S186" s="63"/>
      <c r="T186" s="63"/>
      <c r="U186" s="307"/>
      <c r="V186" s="63"/>
      <c r="W186" s="63"/>
      <c r="X186" s="63"/>
      <c r="Y186" s="63"/>
      <c r="Z186" s="63"/>
      <c r="AA186" s="9"/>
      <c r="AB186" s="140"/>
      <c r="AC186" s="140"/>
      <c r="AD186" s="140"/>
      <c r="AE186" s="140"/>
    </row>
    <row r="187" spans="1:31" s="201" customFormat="1" ht="11.25" customHeight="1">
      <c r="A187" s="564"/>
      <c r="B187" s="68"/>
      <c r="C187" s="68"/>
      <c r="K187" s="63"/>
      <c r="L187" s="68"/>
      <c r="M187" s="68"/>
      <c r="N187" s="63"/>
      <c r="O187" s="63"/>
      <c r="P187" s="63"/>
      <c r="Q187" s="63"/>
      <c r="R187" s="68"/>
      <c r="S187" s="63"/>
      <c r="T187" s="63"/>
      <c r="U187" s="307"/>
      <c r="V187" s="63"/>
      <c r="W187" s="63"/>
      <c r="X187" s="63"/>
      <c r="Y187" s="63"/>
      <c r="Z187" s="63"/>
      <c r="AA187" s="9"/>
      <c r="AB187" s="140"/>
      <c r="AC187" s="140"/>
      <c r="AD187" s="140"/>
      <c r="AE187" s="140"/>
    </row>
    <row r="188" spans="1:31" s="201" customFormat="1" ht="11.25" customHeight="1">
      <c r="A188" s="564"/>
      <c r="B188" s="68"/>
      <c r="C188" s="68"/>
      <c r="K188" s="63"/>
      <c r="L188" s="68"/>
      <c r="M188" s="68"/>
      <c r="N188" s="63"/>
      <c r="O188" s="63"/>
      <c r="P188" s="63"/>
      <c r="Q188" s="63"/>
      <c r="R188" s="68"/>
      <c r="S188" s="63"/>
      <c r="T188" s="63"/>
      <c r="U188" s="307"/>
      <c r="V188" s="63"/>
      <c r="W188" s="63"/>
      <c r="X188" s="63"/>
      <c r="Y188" s="63"/>
      <c r="Z188" s="63"/>
      <c r="AA188" s="9"/>
      <c r="AB188" s="140"/>
      <c r="AC188" s="140"/>
      <c r="AD188" s="140"/>
      <c r="AE188" s="140"/>
    </row>
    <row r="189" spans="1:31" s="201" customFormat="1" ht="11.25" customHeight="1">
      <c r="A189" s="564"/>
      <c r="B189" s="68"/>
      <c r="C189" s="68"/>
      <c r="K189" s="63"/>
      <c r="L189" s="68"/>
      <c r="M189" s="68"/>
      <c r="N189" s="63"/>
      <c r="O189" s="63"/>
      <c r="P189" s="63"/>
      <c r="Q189" s="63"/>
      <c r="R189" s="68"/>
      <c r="S189" s="63"/>
      <c r="T189" s="63"/>
      <c r="U189" s="307"/>
      <c r="V189" s="63"/>
      <c r="W189" s="63"/>
      <c r="X189" s="63"/>
      <c r="Y189" s="63"/>
      <c r="Z189" s="63"/>
      <c r="AA189" s="9"/>
      <c r="AB189" s="140"/>
      <c r="AC189" s="140"/>
      <c r="AD189" s="140"/>
      <c r="AE189" s="140"/>
    </row>
    <row r="190" spans="1:31" s="201" customFormat="1" ht="11.25" customHeight="1">
      <c r="A190" s="564"/>
      <c r="B190" s="68"/>
      <c r="C190" s="68"/>
      <c r="K190" s="63"/>
      <c r="L190" s="68"/>
      <c r="M190" s="68"/>
      <c r="N190" s="63"/>
      <c r="O190" s="63"/>
      <c r="P190" s="63"/>
      <c r="Q190" s="63"/>
      <c r="R190" s="68"/>
      <c r="S190" s="63"/>
      <c r="T190" s="63"/>
      <c r="U190" s="307"/>
      <c r="V190" s="63"/>
      <c r="W190" s="63"/>
      <c r="X190" s="63"/>
      <c r="Y190" s="63"/>
      <c r="Z190" s="63"/>
      <c r="AA190" s="9"/>
      <c r="AB190" s="140"/>
      <c r="AC190" s="140"/>
      <c r="AD190" s="140"/>
      <c r="AE190" s="140"/>
    </row>
    <row r="191" spans="1:31" s="201" customFormat="1" ht="11.25" customHeight="1">
      <c r="A191" s="564"/>
      <c r="B191" s="68"/>
      <c r="C191" s="68"/>
      <c r="K191" s="63"/>
      <c r="L191" s="68"/>
      <c r="M191" s="68"/>
      <c r="N191" s="63"/>
      <c r="O191" s="63"/>
      <c r="P191" s="63"/>
      <c r="Q191" s="63"/>
      <c r="R191" s="68"/>
      <c r="S191" s="63"/>
      <c r="T191" s="63"/>
      <c r="U191" s="307"/>
      <c r="V191" s="63"/>
      <c r="W191" s="63"/>
      <c r="X191" s="63"/>
      <c r="Y191" s="63"/>
      <c r="Z191" s="63"/>
      <c r="AA191" s="9"/>
      <c r="AB191" s="140"/>
      <c r="AC191" s="140"/>
      <c r="AD191" s="140"/>
      <c r="AE191" s="140"/>
    </row>
    <row r="192" spans="1:31" s="201" customFormat="1" ht="11.25" customHeight="1">
      <c r="A192" s="564"/>
      <c r="B192" s="68"/>
      <c r="C192" s="68"/>
      <c r="K192" s="63"/>
      <c r="L192" s="68"/>
      <c r="M192" s="68"/>
      <c r="N192" s="63"/>
      <c r="O192" s="63"/>
      <c r="P192" s="63"/>
      <c r="Q192" s="63"/>
      <c r="R192" s="68"/>
      <c r="S192" s="63"/>
      <c r="T192" s="63"/>
      <c r="U192" s="307"/>
      <c r="V192" s="63"/>
      <c r="W192" s="63"/>
      <c r="X192" s="63"/>
      <c r="Y192" s="63"/>
      <c r="Z192" s="63"/>
      <c r="AA192" s="9"/>
      <c r="AB192" s="140"/>
      <c r="AC192" s="140"/>
      <c r="AD192" s="140"/>
      <c r="AE192" s="140"/>
    </row>
    <row r="193" spans="1:31" s="201" customFormat="1" ht="11.25" customHeight="1">
      <c r="A193" s="564"/>
      <c r="B193" s="68"/>
      <c r="C193" s="68"/>
      <c r="K193" s="63"/>
      <c r="L193" s="68"/>
      <c r="M193" s="68"/>
      <c r="N193" s="63"/>
      <c r="O193" s="63"/>
      <c r="P193" s="63"/>
      <c r="Q193" s="63"/>
      <c r="R193" s="68"/>
      <c r="S193" s="63"/>
      <c r="T193" s="63"/>
      <c r="U193" s="307"/>
      <c r="V193" s="63"/>
      <c r="W193" s="63"/>
      <c r="X193" s="63"/>
      <c r="Y193" s="63"/>
      <c r="Z193" s="63"/>
      <c r="AA193" s="9"/>
      <c r="AB193" s="140"/>
      <c r="AC193" s="140"/>
      <c r="AD193" s="140"/>
      <c r="AE193" s="140"/>
    </row>
    <row r="194" spans="1:31" s="201" customFormat="1" ht="11.25" customHeight="1">
      <c r="A194" s="564"/>
      <c r="B194" s="68"/>
      <c r="C194" s="68"/>
      <c r="K194" s="63"/>
      <c r="L194" s="68"/>
      <c r="M194" s="68"/>
      <c r="N194" s="63"/>
      <c r="O194" s="63"/>
      <c r="P194" s="63"/>
      <c r="Q194" s="63"/>
      <c r="R194" s="68"/>
      <c r="S194" s="63"/>
      <c r="T194" s="63"/>
      <c r="U194" s="307"/>
      <c r="V194" s="63"/>
      <c r="W194" s="63"/>
      <c r="X194" s="63"/>
      <c r="Y194" s="63"/>
      <c r="Z194" s="63"/>
      <c r="AA194" s="9"/>
      <c r="AB194" s="140"/>
      <c r="AC194" s="140"/>
      <c r="AD194" s="140"/>
      <c r="AE194" s="140"/>
    </row>
    <row r="195" spans="1:31" s="201" customFormat="1" ht="11.25" customHeight="1">
      <c r="A195" s="564"/>
      <c r="B195" s="68"/>
      <c r="C195" s="68"/>
      <c r="K195" s="63"/>
      <c r="L195" s="68"/>
      <c r="M195" s="68"/>
      <c r="N195" s="63"/>
      <c r="O195" s="63"/>
      <c r="P195" s="63"/>
      <c r="Q195" s="63"/>
      <c r="R195" s="68"/>
      <c r="S195" s="63"/>
      <c r="T195" s="63"/>
      <c r="U195" s="307"/>
      <c r="V195" s="63"/>
      <c r="W195" s="63"/>
      <c r="X195" s="63"/>
      <c r="Y195" s="63"/>
      <c r="Z195" s="63"/>
      <c r="AA195" s="9"/>
      <c r="AB195" s="140"/>
      <c r="AC195" s="140"/>
      <c r="AD195" s="140"/>
      <c r="AE195" s="140"/>
    </row>
    <row r="196" spans="1:31" s="201" customFormat="1" ht="11.25" customHeight="1">
      <c r="A196" s="564"/>
      <c r="B196" s="68"/>
      <c r="C196" s="68"/>
      <c r="K196" s="63"/>
      <c r="L196" s="68"/>
      <c r="M196" s="68"/>
      <c r="N196" s="63"/>
      <c r="O196" s="63"/>
      <c r="P196" s="63"/>
      <c r="Q196" s="63"/>
      <c r="R196" s="68"/>
      <c r="S196" s="63"/>
      <c r="T196" s="63"/>
      <c r="U196" s="307"/>
      <c r="V196" s="63"/>
      <c r="W196" s="63"/>
      <c r="X196" s="63"/>
      <c r="Y196" s="63"/>
      <c r="Z196" s="63"/>
      <c r="AA196" s="9"/>
      <c r="AB196" s="140"/>
      <c r="AC196" s="140"/>
      <c r="AD196" s="140"/>
      <c r="AE196" s="140"/>
    </row>
    <row r="197" spans="1:31" s="201" customFormat="1" ht="11.25" customHeight="1">
      <c r="A197" s="564"/>
      <c r="B197" s="68"/>
      <c r="C197" s="68"/>
      <c r="K197" s="63"/>
      <c r="L197" s="68"/>
      <c r="M197" s="68"/>
      <c r="N197" s="63"/>
      <c r="O197" s="63"/>
      <c r="P197" s="63"/>
      <c r="Q197" s="63"/>
      <c r="R197" s="68"/>
      <c r="S197" s="63"/>
      <c r="T197" s="63"/>
      <c r="U197" s="307"/>
      <c r="V197" s="63"/>
      <c r="W197" s="63"/>
      <c r="X197" s="63"/>
      <c r="Y197" s="63"/>
      <c r="Z197" s="63"/>
      <c r="AA197" s="9"/>
      <c r="AB197" s="140"/>
      <c r="AC197" s="140"/>
      <c r="AD197" s="140"/>
      <c r="AE197" s="140"/>
    </row>
    <row r="198" spans="1:31" s="201" customFormat="1" ht="11.25" customHeight="1">
      <c r="A198" s="564"/>
      <c r="B198" s="68"/>
      <c r="C198" s="68"/>
      <c r="K198" s="63"/>
      <c r="L198" s="68"/>
      <c r="M198" s="68"/>
      <c r="N198" s="63"/>
      <c r="O198" s="63"/>
      <c r="P198" s="63"/>
      <c r="Q198" s="63"/>
      <c r="R198" s="68"/>
      <c r="S198" s="63"/>
      <c r="T198" s="63"/>
      <c r="U198" s="307"/>
      <c r="V198" s="63"/>
      <c r="W198" s="63"/>
      <c r="X198" s="63"/>
      <c r="Y198" s="63"/>
      <c r="Z198" s="63"/>
      <c r="AA198" s="9"/>
      <c r="AB198" s="140"/>
      <c r="AC198" s="140"/>
      <c r="AD198" s="140"/>
      <c r="AE198" s="140"/>
    </row>
    <row r="199" spans="1:31" s="201" customFormat="1" ht="11.25" customHeight="1">
      <c r="A199" s="564"/>
      <c r="B199" s="68"/>
      <c r="C199" s="68"/>
      <c r="K199" s="63"/>
      <c r="L199" s="68"/>
      <c r="M199" s="68"/>
      <c r="N199" s="63"/>
      <c r="O199" s="63"/>
      <c r="P199" s="63"/>
      <c r="Q199" s="63"/>
      <c r="R199" s="68"/>
      <c r="S199" s="63"/>
      <c r="T199" s="63"/>
      <c r="U199" s="307"/>
      <c r="V199" s="63"/>
      <c r="W199" s="63"/>
      <c r="X199" s="63"/>
      <c r="Y199" s="63"/>
      <c r="Z199" s="63"/>
      <c r="AA199" s="9"/>
      <c r="AB199" s="140"/>
      <c r="AC199" s="140"/>
      <c r="AD199" s="140"/>
      <c r="AE199" s="140"/>
    </row>
    <row r="200" spans="1:31" s="201" customFormat="1" ht="11.25" customHeight="1">
      <c r="A200" s="564"/>
      <c r="B200" s="68"/>
      <c r="C200" s="68"/>
      <c r="K200" s="63"/>
      <c r="L200" s="68"/>
      <c r="M200" s="68"/>
      <c r="N200" s="63"/>
      <c r="O200" s="63"/>
      <c r="P200" s="63"/>
      <c r="Q200" s="63"/>
      <c r="R200" s="68"/>
      <c r="S200" s="63"/>
      <c r="T200" s="63"/>
      <c r="U200" s="307"/>
      <c r="V200" s="63"/>
      <c r="W200" s="63"/>
      <c r="X200" s="63"/>
      <c r="Y200" s="63"/>
      <c r="Z200" s="63"/>
      <c r="AA200" s="9"/>
      <c r="AB200" s="140"/>
      <c r="AC200" s="140"/>
      <c r="AD200" s="140"/>
      <c r="AE200" s="140"/>
    </row>
    <row r="201" spans="1:31" s="201" customFormat="1" ht="11.25" customHeight="1">
      <c r="A201" s="564"/>
      <c r="B201" s="68"/>
      <c r="C201" s="68"/>
      <c r="K201" s="63"/>
      <c r="L201" s="68"/>
      <c r="M201" s="68"/>
      <c r="N201" s="63"/>
      <c r="O201" s="63"/>
      <c r="P201" s="63"/>
      <c r="Q201" s="63"/>
      <c r="R201" s="68"/>
      <c r="S201" s="63"/>
      <c r="T201" s="63"/>
      <c r="U201" s="307"/>
      <c r="V201" s="63"/>
      <c r="W201" s="63"/>
      <c r="X201" s="63"/>
      <c r="Y201" s="63"/>
      <c r="Z201" s="63"/>
      <c r="AA201" s="9"/>
      <c r="AB201" s="140"/>
      <c r="AC201" s="140"/>
      <c r="AD201" s="140"/>
      <c r="AE201" s="140"/>
    </row>
    <row r="202" spans="1:31" s="201" customFormat="1" ht="11.25" customHeight="1">
      <c r="A202" s="564"/>
      <c r="B202" s="68"/>
      <c r="C202" s="68"/>
      <c r="K202" s="63"/>
      <c r="L202" s="68"/>
      <c r="M202" s="68"/>
      <c r="N202" s="63"/>
      <c r="O202" s="63"/>
      <c r="P202" s="63"/>
      <c r="Q202" s="63"/>
      <c r="R202" s="68"/>
      <c r="S202" s="63"/>
      <c r="T202" s="63"/>
      <c r="U202" s="307"/>
      <c r="V202" s="63"/>
      <c r="W202" s="63"/>
      <c r="X202" s="63"/>
      <c r="Y202" s="63"/>
      <c r="Z202" s="63"/>
      <c r="AA202" s="9"/>
      <c r="AB202" s="140"/>
      <c r="AC202" s="140"/>
      <c r="AD202" s="140"/>
      <c r="AE202" s="140"/>
    </row>
    <row r="203" spans="1:31" s="201" customFormat="1" ht="11.25" customHeight="1">
      <c r="A203" s="564"/>
      <c r="B203" s="68"/>
      <c r="C203" s="68"/>
      <c r="K203" s="63"/>
      <c r="L203" s="68"/>
      <c r="M203" s="68"/>
      <c r="N203" s="63"/>
      <c r="O203" s="63"/>
      <c r="P203" s="63"/>
      <c r="Q203" s="63"/>
      <c r="R203" s="68"/>
      <c r="S203" s="63"/>
      <c r="T203" s="63"/>
      <c r="U203" s="307"/>
      <c r="V203" s="63"/>
      <c r="W203" s="63"/>
      <c r="X203" s="63"/>
      <c r="Y203" s="63"/>
      <c r="Z203" s="63"/>
      <c r="AA203" s="9"/>
      <c r="AB203" s="140"/>
      <c r="AC203" s="140"/>
      <c r="AD203" s="140"/>
      <c r="AE203" s="140"/>
    </row>
    <row r="204" spans="1:31" s="201" customFormat="1" ht="11.25" customHeight="1">
      <c r="A204" s="564"/>
      <c r="B204" s="68"/>
      <c r="C204" s="68"/>
      <c r="K204" s="63"/>
      <c r="L204" s="68"/>
      <c r="M204" s="68"/>
      <c r="N204" s="63"/>
      <c r="O204" s="63"/>
      <c r="P204" s="63"/>
      <c r="Q204" s="63"/>
      <c r="R204" s="68"/>
      <c r="S204" s="63"/>
      <c r="T204" s="63"/>
      <c r="U204" s="307"/>
      <c r="V204" s="63"/>
      <c r="W204" s="63"/>
      <c r="X204" s="63"/>
      <c r="Y204" s="63"/>
      <c r="Z204" s="63"/>
      <c r="AA204" s="9"/>
      <c r="AB204" s="140"/>
      <c r="AC204" s="140"/>
      <c r="AD204" s="140"/>
      <c r="AE204" s="140"/>
    </row>
    <row r="208" spans="1:31" ht="11.25" customHeight="1">
      <c r="A208" s="567"/>
      <c r="B208" s="12"/>
      <c r="K208" s="12"/>
      <c r="N208" s="12"/>
      <c r="O208" s="12"/>
      <c r="P208" s="12"/>
      <c r="Q208" s="12"/>
      <c r="S208" s="12"/>
      <c r="T208" s="12"/>
      <c r="U208" s="12"/>
      <c r="V208" s="12"/>
      <c r="W208" s="12"/>
      <c r="X208" s="12"/>
      <c r="Y208" s="12"/>
      <c r="Z208" s="12"/>
      <c r="AA208" s="12"/>
      <c r="AB208" s="12"/>
      <c r="AC208" s="12"/>
      <c r="AD208" s="12"/>
      <c r="AE208" s="12"/>
    </row>
    <row r="209" spans="1:31" ht="11.25" customHeight="1">
      <c r="A209" s="567"/>
      <c r="B209" s="12"/>
      <c r="K209" s="12"/>
      <c r="N209" s="12"/>
      <c r="O209" s="12"/>
      <c r="P209" s="12"/>
      <c r="Q209" s="12"/>
      <c r="S209" s="12"/>
      <c r="T209" s="12"/>
      <c r="U209" s="12"/>
      <c r="V209" s="12"/>
      <c r="W209" s="12"/>
      <c r="X209" s="12"/>
      <c r="Y209" s="12"/>
      <c r="Z209" s="12"/>
      <c r="AA209" s="12"/>
      <c r="AB209" s="12"/>
      <c r="AC209" s="12"/>
      <c r="AD209" s="12"/>
      <c r="AE209" s="12"/>
    </row>
    <row r="210" spans="1:31" ht="11.25" customHeight="1">
      <c r="A210" s="567"/>
      <c r="B210" s="12"/>
      <c r="K210" s="12"/>
      <c r="N210" s="12"/>
      <c r="O210" s="12"/>
      <c r="P210" s="12"/>
      <c r="Q210" s="12"/>
      <c r="S210" s="12"/>
      <c r="T210" s="12"/>
      <c r="U210" s="12"/>
      <c r="V210" s="12"/>
      <c r="W210" s="12"/>
      <c r="X210" s="12"/>
      <c r="Y210" s="12"/>
      <c r="Z210" s="12"/>
      <c r="AA210" s="12"/>
      <c r="AB210" s="12"/>
      <c r="AC210" s="12"/>
      <c r="AD210" s="12"/>
      <c r="AE210" s="12"/>
    </row>
    <row r="211" spans="1:31" ht="11.25" customHeight="1">
      <c r="A211" s="567"/>
      <c r="B211" s="12"/>
      <c r="K211" s="12"/>
      <c r="N211" s="12"/>
      <c r="O211" s="12"/>
      <c r="P211" s="12"/>
      <c r="Q211" s="12"/>
      <c r="S211" s="12"/>
      <c r="T211" s="12"/>
      <c r="U211" s="12"/>
      <c r="V211" s="12"/>
      <c r="W211" s="12"/>
      <c r="X211" s="12"/>
      <c r="Y211" s="12"/>
      <c r="Z211" s="12"/>
      <c r="AA211" s="12"/>
      <c r="AB211" s="12"/>
      <c r="AC211" s="12"/>
      <c r="AD211" s="12"/>
      <c r="AE211" s="12"/>
    </row>
    <row r="212" spans="1:31" ht="11.25" customHeight="1">
      <c r="A212" s="567"/>
      <c r="B212" s="12"/>
      <c r="K212" s="12"/>
      <c r="N212" s="12"/>
      <c r="O212" s="12"/>
      <c r="P212" s="12"/>
      <c r="Q212" s="12"/>
      <c r="S212" s="12"/>
      <c r="T212" s="12"/>
      <c r="U212" s="12"/>
      <c r="V212" s="12"/>
      <c r="W212" s="12"/>
      <c r="X212" s="12"/>
      <c r="Y212" s="12"/>
      <c r="Z212" s="12"/>
      <c r="AA212" s="12"/>
      <c r="AB212" s="12"/>
      <c r="AC212" s="12"/>
      <c r="AD212" s="12"/>
      <c r="AE212" s="12"/>
    </row>
    <row r="213" spans="1:31" ht="11.25" customHeight="1">
      <c r="A213" s="567"/>
      <c r="B213" s="12"/>
      <c r="K213" s="12"/>
      <c r="N213" s="12"/>
      <c r="O213" s="12"/>
      <c r="P213" s="12"/>
      <c r="Q213" s="12"/>
      <c r="S213" s="12"/>
      <c r="T213" s="12"/>
      <c r="U213" s="12"/>
      <c r="V213" s="12"/>
      <c r="W213" s="12"/>
      <c r="X213" s="12"/>
      <c r="Y213" s="12"/>
      <c r="Z213" s="12"/>
      <c r="AA213" s="12"/>
      <c r="AB213" s="12"/>
      <c r="AC213" s="12"/>
      <c r="AD213" s="12"/>
      <c r="AE213" s="12"/>
    </row>
    <row r="214" spans="1:31" ht="11.25" customHeight="1">
      <c r="A214" s="567"/>
      <c r="B214" s="12"/>
      <c r="K214" s="12"/>
      <c r="N214" s="12"/>
      <c r="O214" s="12"/>
      <c r="P214" s="12"/>
      <c r="Q214" s="12"/>
      <c r="S214" s="12"/>
      <c r="T214" s="12"/>
      <c r="U214" s="12"/>
      <c r="V214" s="12"/>
      <c r="W214" s="12"/>
      <c r="X214" s="12"/>
      <c r="Y214" s="12"/>
      <c r="Z214" s="12"/>
      <c r="AA214" s="12"/>
      <c r="AB214" s="12"/>
      <c r="AC214" s="12"/>
      <c r="AD214" s="12"/>
      <c r="AE214" s="12"/>
    </row>
    <row r="215" spans="1:31" ht="11.25" customHeight="1">
      <c r="A215" s="567"/>
      <c r="B215" s="12"/>
      <c r="K215" s="12"/>
      <c r="N215" s="12"/>
      <c r="O215" s="12"/>
      <c r="P215" s="12"/>
      <c r="Q215" s="12"/>
      <c r="S215" s="12"/>
      <c r="T215" s="12"/>
      <c r="U215" s="12"/>
      <c r="V215" s="12"/>
      <c r="W215" s="12"/>
      <c r="X215" s="12"/>
      <c r="Y215" s="12"/>
      <c r="Z215" s="12"/>
      <c r="AA215" s="12"/>
      <c r="AB215" s="12"/>
      <c r="AC215" s="12"/>
      <c r="AD215" s="12"/>
      <c r="AE215" s="12"/>
    </row>
    <row r="216" spans="1:31" ht="11.25" customHeight="1">
      <c r="A216" s="567"/>
      <c r="B216" s="12"/>
      <c r="K216" s="12"/>
      <c r="N216" s="12"/>
      <c r="O216" s="12"/>
      <c r="P216" s="12"/>
      <c r="Q216" s="12"/>
      <c r="S216" s="12"/>
      <c r="T216" s="12"/>
      <c r="U216" s="12"/>
      <c r="V216" s="12"/>
      <c r="W216" s="12"/>
      <c r="X216" s="12"/>
      <c r="Y216" s="12"/>
      <c r="Z216" s="12"/>
      <c r="AA216" s="12"/>
      <c r="AB216" s="12"/>
      <c r="AC216" s="12"/>
      <c r="AD216" s="12"/>
      <c r="AE216" s="12"/>
    </row>
    <row r="217" spans="1:31" ht="11.25" customHeight="1">
      <c r="A217" s="567"/>
      <c r="B217" s="12"/>
      <c r="K217" s="12"/>
      <c r="N217" s="12"/>
      <c r="O217" s="12"/>
      <c r="P217" s="12"/>
      <c r="Q217" s="12"/>
      <c r="S217" s="12"/>
      <c r="T217" s="12"/>
      <c r="U217" s="12"/>
      <c r="V217" s="12"/>
      <c r="W217" s="12"/>
      <c r="X217" s="12"/>
      <c r="Y217" s="12"/>
      <c r="Z217" s="12"/>
      <c r="AA217" s="12"/>
      <c r="AB217" s="12"/>
      <c r="AC217" s="12"/>
      <c r="AD217" s="12"/>
      <c r="AE217" s="12"/>
    </row>
    <row r="218" spans="1:31" ht="11.25" customHeight="1">
      <c r="A218" s="567"/>
      <c r="B218" s="12"/>
      <c r="K218" s="12"/>
      <c r="N218" s="12"/>
      <c r="O218" s="12"/>
      <c r="P218" s="12"/>
      <c r="Q218" s="12"/>
      <c r="S218" s="12"/>
      <c r="T218" s="12"/>
      <c r="U218" s="12"/>
      <c r="V218" s="12"/>
      <c r="W218" s="12"/>
      <c r="X218" s="12"/>
      <c r="Y218" s="12"/>
      <c r="Z218" s="12"/>
      <c r="AA218" s="12"/>
      <c r="AB218" s="12"/>
      <c r="AC218" s="12"/>
      <c r="AD218" s="12"/>
      <c r="AE218" s="12"/>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2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2200-000002000000}">
      <formula1>900</formula1>
    </dataValidation>
    <dataValidation type="decimal" allowBlank="1" showErrorMessage="1" errorTitle="Ошибка" error="Допускается ввод только действительных чисел!" sqref="H36:I37" xr:uid="{00000000-0002-0000-22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2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DF647-EC79-E75D-FFD8-CA5DDE826CFD}">
  <sheetPr>
    <tabColor theme="9" tint="-0.249977111117893"/>
  </sheetPr>
  <dimension ref="A1:AE209"/>
  <sheetViews>
    <sheetView showGridLines="0" topLeftCell="D5" zoomScale="90" workbookViewId="0"/>
  </sheetViews>
  <sheetFormatPr defaultColWidth="9.140625" defaultRowHeight="11.25" customHeight="1"/>
  <cols>
    <col min="1" max="1" width="10.7109375" style="564" hidden="1" customWidth="1"/>
    <col min="2" max="2" width="16.85546875" style="63" hidden="1" customWidth="1"/>
    <col min="3" max="3" width="5.5703125" style="68" hidden="1" customWidth="1"/>
    <col min="4" max="4" width="3.7109375" style="12" customWidth="1"/>
    <col min="5" max="5" width="7.7109375" style="12" customWidth="1"/>
    <col min="6" max="6" width="54.5703125" style="12" customWidth="1"/>
    <col min="7" max="7" width="10.42578125" style="12" customWidth="1"/>
    <col min="8" max="8" width="40.7109375" style="12" hidden="1" customWidth="1"/>
    <col min="9" max="9" width="40.7109375" style="12" customWidth="1"/>
    <col min="10" max="10" width="102.85546875" style="12" customWidth="1"/>
    <col min="11" max="11" width="9.7109375" style="63" customWidth="1"/>
    <col min="12" max="12" width="5.28515625" style="68" customWidth="1"/>
    <col min="13" max="13" width="3.7109375" style="68" customWidth="1"/>
    <col min="14" max="17" width="3.7109375" style="63" customWidth="1"/>
    <col min="18" max="18" width="10.5703125" style="68" customWidth="1"/>
    <col min="19" max="19" width="34.7109375" style="63" customWidth="1"/>
    <col min="20" max="20" width="9.42578125" style="63" customWidth="1"/>
    <col min="21" max="21" width="9.140625" style="307"/>
    <col min="22" max="26" width="9.140625" style="63"/>
    <col min="27" max="31" width="9.140625" style="9"/>
  </cols>
  <sheetData>
    <row r="1" spans="1:31" s="63" customFormat="1" ht="11.25" hidden="1" customHeight="1">
      <c r="A1" s="564"/>
      <c r="C1" s="68"/>
      <c r="H1" s="63">
        <v>4</v>
      </c>
      <c r="I1" s="63">
        <v>4</v>
      </c>
      <c r="L1" s="68"/>
      <c r="M1" s="68"/>
      <c r="R1" s="68"/>
    </row>
    <row r="2" spans="1:31" s="63" customFormat="1" ht="22.5" hidden="1" customHeight="1">
      <c r="A2" s="564"/>
      <c r="C2" s="68"/>
      <c r="D2" s="302"/>
      <c r="E2" s="42"/>
      <c r="F2" s="303"/>
      <c r="G2" s="42" t="s">
        <v>551</v>
      </c>
      <c r="H2" s="304"/>
      <c r="I2" s="304"/>
      <c r="J2" s="305" t="s">
        <v>554</v>
      </c>
      <c r="K2" s="306"/>
      <c r="L2" s="68"/>
      <c r="M2" s="68"/>
      <c r="R2" s="68"/>
      <c r="U2" s="307"/>
      <c r="AA2" s="9"/>
      <c r="AB2" s="9"/>
      <c r="AC2" s="9"/>
      <c r="AD2" s="9"/>
      <c r="AE2" s="9"/>
    </row>
    <row r="3" spans="1:31" ht="11.25" hidden="1" customHeight="1"/>
    <row r="4" spans="1:31" s="9" customFormat="1" ht="11.25" hidden="1" customHeight="1">
      <c r="A4" s="564"/>
      <c r="B4" s="63"/>
      <c r="C4" s="68"/>
      <c r="J4" s="9">
        <v>4</v>
      </c>
      <c r="K4" s="63"/>
      <c r="L4" s="68"/>
      <c r="M4" s="68"/>
      <c r="N4" s="63"/>
      <c r="O4" s="63"/>
      <c r="P4" s="63"/>
      <c r="Q4" s="63"/>
      <c r="R4" s="68"/>
      <c r="S4" s="63"/>
      <c r="T4" s="63"/>
      <c r="U4" s="307"/>
      <c r="V4" s="63"/>
      <c r="W4" s="63"/>
      <c r="X4" s="63"/>
      <c r="Y4" s="63"/>
      <c r="Z4" s="63"/>
    </row>
    <row r="6" spans="1:31" ht="32.25" customHeight="1">
      <c r="E6" s="1249" t="s">
        <v>690</v>
      </c>
      <c r="F6" s="1249"/>
      <c r="G6" s="1249"/>
      <c r="H6" s="1249"/>
      <c r="I6" s="1249"/>
      <c r="J6" s="60"/>
    </row>
    <row r="7" spans="1:31" ht="24" customHeight="1">
      <c r="E7" s="1194" t="str">
        <f>IF(org=0,"Не определено",org)</f>
        <v>АО "ХТК"</v>
      </c>
      <c r="F7" s="1194"/>
      <c r="G7" s="1194"/>
      <c r="H7" s="1194"/>
      <c r="I7" s="1194"/>
    </row>
    <row r="8" spans="1:31" ht="11.25" customHeight="1">
      <c r="E8" s="657"/>
      <c r="F8" s="657"/>
      <c r="G8" s="657"/>
      <c r="H8" s="657"/>
      <c r="I8" s="657"/>
    </row>
    <row r="9" spans="1:31" s="68" customFormat="1" ht="0.75" customHeight="1">
      <c r="A9" s="311"/>
      <c r="H9" s="505"/>
      <c r="I9" s="505" t="s">
        <v>114</v>
      </c>
    </row>
    <row r="10" spans="1:31" ht="11.25" customHeight="1">
      <c r="E10" s="400"/>
      <c r="F10" s="1347" t="s">
        <v>101</v>
      </c>
      <c r="G10" s="1348"/>
      <c r="H10" s="848" t="str">
        <f>IF(H9="","",INDEX(DIFFERENTIATION_UNMERGE_VD,MATCH(H9,DIFFERENTIATION_ID_DIFF,0)))</f>
        <v/>
      </c>
      <c r="I10" s="848" t="str">
        <f>IF(I9="","",INDEX(DIFFERENTIATION_UNMERGE_VD,MATCH(I9,DIFFERENTIATION_ID_DIFF,0)))</f>
        <v>Передача. Тепловая энергия</v>
      </c>
      <c r="J10" s="1146"/>
    </row>
    <row r="11" spans="1:31" ht="11.25" customHeight="1">
      <c r="E11" s="400"/>
      <c r="F11" s="1347" t="s">
        <v>563</v>
      </c>
      <c r="G11" s="1348"/>
      <c r="H11" s="848" t="str">
        <f>IF(H9="","",INDEX(DIFFERENTIATION_UNMERGE_AREA,MATCH(H9,DIFFERENTIATION_ID_DIFF,0)))</f>
        <v/>
      </c>
      <c r="I11" s="848" t="str">
        <f>IF(I9="","",INDEX(DIFFERENTIATION_UNMERGE_AREA,MATCH(I9,DIFFERENTIATION_ID_DIFF,0)))</f>
        <v>Территория 1</v>
      </c>
      <c r="J11" s="1146"/>
    </row>
    <row r="12" spans="1:31" ht="11.25" hidden="1" customHeight="1">
      <c r="E12" s="886"/>
      <c r="F12" s="1366" t="s">
        <v>564</v>
      </c>
      <c r="G12" s="1367"/>
      <c r="H12" s="887" t="str">
        <f>IF(H9="","",INDEX(DIFFERENTIATION_UNMERGE_SYSTEM,MATCH(H9,DIFFERENTIATION_ID_DIFF,0)))</f>
        <v/>
      </c>
      <c r="I12" s="887" t="str">
        <f>IF(I9="","",INDEX(DIFFERENTIATION_UNMERGE_SYSTEM,MATCH(I9,DIFFERENTIATION_ID_DIFF,0)))</f>
        <v>система теплоснабжения г. Кировск</v>
      </c>
      <c r="J12" s="1146"/>
    </row>
    <row r="13" spans="1:31" ht="11.25" customHeight="1">
      <c r="E13" s="1349" t="s">
        <v>299</v>
      </c>
      <c r="F13" s="1350"/>
      <c r="G13" s="1350"/>
      <c r="H13" s="503"/>
      <c r="I13" s="503"/>
      <c r="J13" s="1146"/>
    </row>
    <row r="14" spans="1:31" ht="22.5" customHeight="1">
      <c r="E14" s="42" t="s">
        <v>84</v>
      </c>
      <c r="F14" s="42" t="s">
        <v>301</v>
      </c>
      <c r="G14" s="42" t="s">
        <v>565</v>
      </c>
      <c r="H14" s="42" t="s">
        <v>302</v>
      </c>
      <c r="I14" s="42" t="s">
        <v>302</v>
      </c>
      <c r="J14" s="1146"/>
    </row>
    <row r="15" spans="1:31" ht="18.75" customHeight="1">
      <c r="D15" s="56"/>
      <c r="E15" s="884" t="s">
        <v>105</v>
      </c>
      <c r="F15" s="151" t="s">
        <v>691</v>
      </c>
      <c r="G15" s="42" t="s">
        <v>551</v>
      </c>
      <c r="H15" s="319"/>
      <c r="I15" s="319"/>
      <c r="J15" s="67" t="s">
        <v>692</v>
      </c>
      <c r="K15" s="306" t="s">
        <v>620</v>
      </c>
    </row>
    <row r="16" spans="1:31" ht="22.5" customHeight="1">
      <c r="D16" s="56"/>
      <c r="E16" s="884" t="s">
        <v>106</v>
      </c>
      <c r="F16" s="868" t="s">
        <v>693</v>
      </c>
      <c r="G16" s="42" t="s">
        <v>551</v>
      </c>
      <c r="H16" s="320">
        <f>SUM(H17,H20:H27)</f>
        <v>0</v>
      </c>
      <c r="I16" s="320">
        <f>SUM(I17,I20:I27)</f>
        <v>0</v>
      </c>
      <c r="J16" s="67" t="s">
        <v>694</v>
      </c>
      <c r="K16" s="306" t="s">
        <v>620</v>
      </c>
    </row>
    <row r="17" spans="1:31" ht="33.75" customHeight="1">
      <c r="D17" s="56"/>
      <c r="E17" s="888" t="s">
        <v>623</v>
      </c>
      <c r="F17" s="385" t="s">
        <v>695</v>
      </c>
      <c r="G17" s="386" t="s">
        <v>551</v>
      </c>
      <c r="H17" s="319"/>
      <c r="I17" s="319"/>
      <c r="J17" s="67" t="s">
        <v>696</v>
      </c>
      <c r="K17" s="306"/>
    </row>
    <row r="18" spans="1:31" ht="18.75" customHeight="1">
      <c r="D18" s="56"/>
      <c r="E18" s="888" t="s">
        <v>626</v>
      </c>
      <c r="F18" s="705" t="s">
        <v>697</v>
      </c>
      <c r="G18" s="386" t="s">
        <v>551</v>
      </c>
      <c r="H18" s="319"/>
      <c r="I18" s="319"/>
      <c r="J18" s="67"/>
      <c r="K18" s="306"/>
    </row>
    <row r="19" spans="1:31" ht="22.5" customHeight="1">
      <c r="D19" s="56"/>
      <c r="E19" s="888" t="s">
        <v>629</v>
      </c>
      <c r="F19" s="705" t="s">
        <v>698</v>
      </c>
      <c r="G19" s="386" t="s">
        <v>551</v>
      </c>
      <c r="H19" s="319"/>
      <c r="I19" s="319"/>
      <c r="J19" s="67"/>
      <c r="K19" s="306"/>
    </row>
    <row r="20" spans="1:31" ht="33.75" customHeight="1">
      <c r="D20" s="56"/>
      <c r="E20" s="888" t="s">
        <v>306</v>
      </c>
      <c r="F20" s="385" t="s">
        <v>699</v>
      </c>
      <c r="G20" s="386" t="s">
        <v>551</v>
      </c>
      <c r="H20" s="319"/>
      <c r="I20" s="319"/>
      <c r="J20" s="67"/>
      <c r="K20" s="306"/>
    </row>
    <row r="21" spans="1:31" ht="33.75" customHeight="1">
      <c r="D21" s="56"/>
      <c r="E21" s="888" t="s">
        <v>309</v>
      </c>
      <c r="F21" s="385" t="s">
        <v>700</v>
      </c>
      <c r="G21" s="386" t="s">
        <v>551</v>
      </c>
      <c r="H21" s="319"/>
      <c r="I21" s="319"/>
      <c r="J21" s="67"/>
      <c r="K21" s="306"/>
    </row>
    <row r="22" spans="1:31" ht="56.25" customHeight="1">
      <c r="D22" s="56"/>
      <c r="E22" s="888" t="s">
        <v>643</v>
      </c>
      <c r="F22" s="385" t="s">
        <v>701</v>
      </c>
      <c r="G22" s="386" t="s">
        <v>551</v>
      </c>
      <c r="H22" s="319"/>
      <c r="I22" s="319"/>
      <c r="J22" s="67"/>
      <c r="K22" s="306"/>
    </row>
    <row r="23" spans="1:31" ht="33.75" customHeight="1">
      <c r="D23" s="56"/>
      <c r="E23" s="888" t="s">
        <v>650</v>
      </c>
      <c r="F23" s="385" t="s">
        <v>702</v>
      </c>
      <c r="G23" s="386" t="s">
        <v>551</v>
      </c>
      <c r="H23" s="319"/>
      <c r="I23" s="319"/>
      <c r="J23" s="67"/>
      <c r="K23" s="306"/>
    </row>
    <row r="24" spans="1:31" ht="33.75" customHeight="1">
      <c r="D24" s="56"/>
      <c r="E24" s="888" t="s">
        <v>652</v>
      </c>
      <c r="F24" s="385" t="s">
        <v>703</v>
      </c>
      <c r="G24" s="386" t="s">
        <v>551</v>
      </c>
      <c r="H24" s="319"/>
      <c r="I24" s="319"/>
      <c r="J24" s="67"/>
      <c r="K24" s="306"/>
    </row>
    <row r="25" spans="1:31" ht="22.5" customHeight="1">
      <c r="D25" s="56"/>
      <c r="E25" s="888" t="s">
        <v>654</v>
      </c>
      <c r="F25" s="385" t="s">
        <v>704</v>
      </c>
      <c r="G25" s="386" t="s">
        <v>551</v>
      </c>
      <c r="H25" s="319"/>
      <c r="I25" s="319"/>
      <c r="J25" s="67"/>
      <c r="K25" s="306"/>
    </row>
    <row r="26" spans="1:31" ht="67.5" customHeight="1">
      <c r="D26" s="56"/>
      <c r="E26" s="888" t="s">
        <v>656</v>
      </c>
      <c r="F26" s="385" t="s">
        <v>705</v>
      </c>
      <c r="G26" s="386" t="s">
        <v>551</v>
      </c>
      <c r="H26" s="319"/>
      <c r="I26" s="319"/>
      <c r="J26" s="67"/>
      <c r="K26" s="306"/>
    </row>
    <row r="27" spans="1:31" s="63" customFormat="1" ht="22.5" customHeight="1">
      <c r="A27" s="564"/>
      <c r="C27" s="68"/>
      <c r="D27" s="56"/>
      <c r="E27" s="883" t="s">
        <v>660</v>
      </c>
      <c r="F27" s="882" t="s">
        <v>706</v>
      </c>
      <c r="G27" s="332" t="s">
        <v>551</v>
      </c>
      <c r="H27" s="333">
        <f>SUM(H28:H29)</f>
        <v>0</v>
      </c>
      <c r="I27" s="333">
        <f>SUM(I28:I29)</f>
        <v>0</v>
      </c>
      <c r="J27" s="67" t="s">
        <v>658</v>
      </c>
      <c r="K27" s="306"/>
      <c r="L27" s="68"/>
      <c r="M27" s="68"/>
      <c r="R27" s="68"/>
      <c r="U27" s="307"/>
      <c r="AA27" s="9"/>
      <c r="AB27" s="9"/>
      <c r="AC27" s="9"/>
      <c r="AD27" s="9"/>
      <c r="AE27" s="9"/>
    </row>
    <row r="28" spans="1:31" s="68" customFormat="1" ht="0.75" customHeight="1">
      <c r="A28" s="311"/>
      <c r="D28" s="311"/>
      <c r="E28" s="314" t="str">
        <f>E27&amp;".0"</f>
        <v>2.9.0</v>
      </c>
      <c r="F28" s="568"/>
      <c r="G28" s="314"/>
      <c r="H28" s="569"/>
      <c r="I28" s="569"/>
      <c r="J28" s="570"/>
    </row>
    <row r="29" spans="1:31" s="63" customFormat="1" ht="18.75" customHeight="1">
      <c r="A29" s="564"/>
      <c r="C29" s="68"/>
      <c r="D29" s="76"/>
      <c r="E29" s="325"/>
      <c r="F29" s="889" t="s">
        <v>576</v>
      </c>
      <c r="G29" s="326"/>
      <c r="H29" s="327"/>
      <c r="I29" s="327"/>
      <c r="J29" s="170" t="s">
        <v>659</v>
      </c>
      <c r="K29" s="306"/>
      <c r="L29" s="68"/>
      <c r="M29" s="68"/>
      <c r="R29" s="68"/>
      <c r="U29" s="307"/>
      <c r="AA29" s="9"/>
      <c r="AB29" s="9"/>
      <c r="AC29" s="9"/>
      <c r="AD29" s="9"/>
      <c r="AE29" s="9"/>
    </row>
    <row r="30" spans="1:31" s="63" customFormat="1" ht="22.5" customHeight="1">
      <c r="A30" s="564"/>
      <c r="C30" s="68"/>
      <c r="D30" s="56"/>
      <c r="E30" s="888" t="s">
        <v>86</v>
      </c>
      <c r="F30" s="388" t="s">
        <v>707</v>
      </c>
      <c r="G30" s="386" t="s">
        <v>551</v>
      </c>
      <c r="H30" s="319"/>
      <c r="I30" s="319"/>
      <c r="J30" s="67"/>
      <c r="K30" s="306"/>
      <c r="L30" s="68"/>
      <c r="M30" s="68"/>
      <c r="R30" s="68"/>
      <c r="U30" s="307"/>
      <c r="AA30" s="9"/>
      <c r="AB30" s="9"/>
      <c r="AC30" s="9"/>
      <c r="AD30" s="9"/>
      <c r="AE30" s="9"/>
    </row>
    <row r="31" spans="1:31" s="63" customFormat="1" ht="33.75" customHeight="1">
      <c r="A31" s="564"/>
      <c r="C31" s="68"/>
      <c r="D31" s="329"/>
      <c r="E31" s="888" t="s">
        <v>87</v>
      </c>
      <c r="F31" s="388" t="s">
        <v>708</v>
      </c>
      <c r="G31" s="386" t="s">
        <v>551</v>
      </c>
      <c r="H31" s="319"/>
      <c r="I31" s="319"/>
      <c r="J31" s="67" t="s">
        <v>709</v>
      </c>
      <c r="K31" s="306"/>
      <c r="L31" s="68"/>
      <c r="M31" s="68"/>
      <c r="R31" s="68"/>
      <c r="U31" s="307"/>
      <c r="AA31" s="9"/>
      <c r="AB31" s="9"/>
      <c r="AC31" s="9"/>
      <c r="AD31" s="9"/>
      <c r="AE31" s="9"/>
    </row>
    <row r="32" spans="1:31" s="63" customFormat="1" ht="22.5" customHeight="1">
      <c r="A32" s="564"/>
      <c r="C32" s="68"/>
      <c r="D32" s="56"/>
      <c r="E32" s="888" t="s">
        <v>668</v>
      </c>
      <c r="F32" s="385" t="s">
        <v>672</v>
      </c>
      <c r="G32" s="386" t="s">
        <v>551</v>
      </c>
      <c r="H32" s="319"/>
      <c r="I32" s="319"/>
      <c r="J32" s="67" t="s">
        <v>710</v>
      </c>
      <c r="K32" s="306"/>
      <c r="L32" s="68"/>
      <c r="M32" s="68"/>
      <c r="R32" s="68"/>
      <c r="U32" s="307"/>
      <c r="AA32" s="9"/>
      <c r="AB32" s="9"/>
      <c r="AC32" s="9"/>
      <c r="AD32" s="9"/>
      <c r="AE32" s="9"/>
    </row>
    <row r="33" spans="1:31" s="63" customFormat="1" ht="22.5" customHeight="1">
      <c r="A33" s="564"/>
      <c r="C33" s="68"/>
      <c r="D33" s="56"/>
      <c r="E33" s="888" t="s">
        <v>711</v>
      </c>
      <c r="F33" s="385" t="s">
        <v>712</v>
      </c>
      <c r="G33" s="386" t="s">
        <v>551</v>
      </c>
      <c r="H33" s="319"/>
      <c r="I33" s="319"/>
      <c r="J33" s="67" t="s">
        <v>713</v>
      </c>
      <c r="K33" s="306"/>
      <c r="L33" s="68"/>
      <c r="M33" s="68"/>
      <c r="R33" s="68"/>
      <c r="U33" s="307"/>
      <c r="AA33" s="9"/>
      <c r="AB33" s="9"/>
      <c r="AC33" s="9"/>
      <c r="AD33" s="9"/>
      <c r="AE33" s="9"/>
    </row>
    <row r="34" spans="1:31" s="63" customFormat="1" ht="22.5" customHeight="1">
      <c r="A34" s="564"/>
      <c r="C34" s="68"/>
      <c r="D34" s="56"/>
      <c r="E34" s="888" t="s">
        <v>714</v>
      </c>
      <c r="F34" s="385" t="s">
        <v>678</v>
      </c>
      <c r="G34" s="386" t="s">
        <v>551</v>
      </c>
      <c r="H34" s="319"/>
      <c r="I34" s="319"/>
      <c r="J34" s="67" t="s">
        <v>715</v>
      </c>
      <c r="K34" s="306"/>
      <c r="L34" s="68"/>
      <c r="M34" s="68"/>
      <c r="R34" s="68"/>
      <c r="U34" s="307"/>
      <c r="AA34" s="9"/>
      <c r="AB34" s="9"/>
      <c r="AC34" s="9"/>
      <c r="AD34" s="9"/>
      <c r="AE34" s="9"/>
    </row>
    <row r="35" spans="1:31" s="63" customFormat="1" ht="33.75" customHeight="1">
      <c r="A35" s="564"/>
      <c r="C35" s="68" t="s">
        <v>580</v>
      </c>
      <c r="D35" s="56"/>
      <c r="E35" s="888" t="s">
        <v>107</v>
      </c>
      <c r="F35" s="388" t="s">
        <v>680</v>
      </c>
      <c r="G35" s="42" t="s">
        <v>305</v>
      </c>
      <c r="H35" s="226"/>
      <c r="I35" s="226"/>
      <c r="J35" s="67" t="s">
        <v>716</v>
      </c>
      <c r="K35" s="306"/>
      <c r="L35" s="68"/>
      <c r="M35" s="68"/>
      <c r="R35" s="68"/>
      <c r="U35" s="307"/>
      <c r="AA35" s="9"/>
      <c r="AB35" s="9"/>
      <c r="AC35" s="9"/>
      <c r="AD35" s="9"/>
      <c r="AE35" s="9"/>
    </row>
    <row r="36" spans="1:31" s="63" customFormat="1" ht="22.5" customHeight="1">
      <c r="A36" s="564"/>
      <c r="C36" s="68"/>
      <c r="D36" s="56"/>
      <c r="E36" s="888" t="s">
        <v>88</v>
      </c>
      <c r="F36" s="388" t="s">
        <v>717</v>
      </c>
      <c r="G36" s="386" t="s">
        <v>684</v>
      </c>
      <c r="H36" s="308"/>
      <c r="I36" s="308"/>
      <c r="J36" s="67" t="s">
        <v>685</v>
      </c>
      <c r="K36" s="306"/>
      <c r="L36" s="68"/>
      <c r="M36" s="68"/>
      <c r="R36" s="68"/>
      <c r="U36" s="307"/>
      <c r="AA36" s="9"/>
      <c r="AB36" s="9"/>
      <c r="AC36" s="9"/>
      <c r="AD36" s="9"/>
      <c r="AE36" s="9"/>
    </row>
    <row r="37" spans="1:31" s="63" customFormat="1" ht="22.5" customHeight="1">
      <c r="A37" s="564"/>
      <c r="C37" s="68"/>
      <c r="D37" s="56"/>
      <c r="E37" s="888" t="s">
        <v>89</v>
      </c>
      <c r="F37" s="388" t="s">
        <v>718</v>
      </c>
      <c r="G37" s="386" t="s">
        <v>687</v>
      </c>
      <c r="H37" s="308"/>
      <c r="I37" s="308"/>
      <c r="J37" s="67" t="s">
        <v>688</v>
      </c>
      <c r="K37" s="306"/>
      <c r="L37" s="68"/>
      <c r="M37" s="68"/>
      <c r="R37" s="68"/>
      <c r="U37" s="307"/>
      <c r="AA37" s="9"/>
      <c r="AB37" s="9"/>
      <c r="AC37" s="9"/>
      <c r="AD37" s="9"/>
      <c r="AE37" s="9"/>
    </row>
    <row r="38" spans="1:31" ht="11.25" customHeight="1">
      <c r="D38" s="56"/>
    </row>
    <row r="39" spans="1:31" ht="26.25" customHeight="1">
      <c r="D39" s="56"/>
      <c r="E39" s="196" t="s">
        <v>719</v>
      </c>
      <c r="F39" s="1285" t="s">
        <v>720</v>
      </c>
      <c r="G39" s="1285"/>
      <c r="H39" s="1285"/>
      <c r="I39" s="1285"/>
      <c r="J39" s="1285"/>
    </row>
    <row r="40" spans="1:31" s="201" customFormat="1" ht="37.5" customHeight="1">
      <c r="A40" s="564"/>
      <c r="B40" s="68"/>
      <c r="C40" s="68"/>
      <c r="F40" s="1285" t="s">
        <v>721</v>
      </c>
      <c r="G40" s="1285"/>
      <c r="H40" s="1285"/>
      <c r="I40" s="1285"/>
      <c r="J40" s="1285"/>
      <c r="K40" s="63"/>
      <c r="L40" s="68"/>
      <c r="M40" s="68"/>
      <c r="N40" s="63"/>
      <c r="O40" s="63"/>
      <c r="P40" s="63"/>
      <c r="Q40" s="63"/>
      <c r="R40" s="68"/>
      <c r="S40" s="63"/>
      <c r="T40" s="63"/>
      <c r="U40" s="307"/>
      <c r="V40" s="63"/>
      <c r="W40" s="63"/>
      <c r="X40" s="63"/>
      <c r="Y40" s="63"/>
      <c r="Z40" s="63"/>
      <c r="AA40" s="9"/>
      <c r="AB40" s="140"/>
      <c r="AC40" s="140"/>
      <c r="AD40" s="140"/>
      <c r="AE40" s="140"/>
    </row>
    <row r="41" spans="1:31" s="201" customFormat="1" ht="11.25" customHeight="1">
      <c r="A41" s="564"/>
      <c r="B41" s="68"/>
      <c r="C41" s="68"/>
      <c r="K41" s="63"/>
      <c r="L41" s="68"/>
      <c r="M41" s="68"/>
      <c r="N41" s="63"/>
      <c r="O41" s="63"/>
      <c r="P41" s="63"/>
      <c r="Q41" s="63"/>
      <c r="R41" s="68"/>
      <c r="S41" s="63"/>
      <c r="T41" s="63"/>
      <c r="U41" s="307"/>
      <c r="V41" s="63"/>
      <c r="W41" s="63"/>
      <c r="X41" s="63"/>
      <c r="Y41" s="63"/>
      <c r="Z41" s="63"/>
      <c r="AA41" s="9"/>
      <c r="AB41" s="140"/>
      <c r="AC41" s="140"/>
      <c r="AD41" s="140"/>
      <c r="AE41" s="140"/>
    </row>
    <row r="42" spans="1:31" s="201" customFormat="1" ht="11.25" customHeight="1">
      <c r="A42" s="564"/>
      <c r="B42" s="68"/>
      <c r="C42" s="68"/>
      <c r="K42" s="63"/>
      <c r="L42" s="68"/>
      <c r="M42" s="68"/>
      <c r="N42" s="63"/>
      <c r="O42" s="63"/>
      <c r="P42" s="63"/>
      <c r="Q42" s="63"/>
      <c r="R42" s="68"/>
      <c r="S42" s="63"/>
      <c r="T42" s="63"/>
      <c r="U42" s="307"/>
      <c r="V42" s="63"/>
      <c r="W42" s="63"/>
      <c r="X42" s="63"/>
      <c r="Y42" s="63"/>
      <c r="Z42" s="63"/>
      <c r="AA42" s="9"/>
      <c r="AB42" s="140"/>
      <c r="AC42" s="140"/>
      <c r="AD42" s="140"/>
      <c r="AE42" s="140"/>
    </row>
    <row r="43" spans="1:31" s="201" customFormat="1" ht="11.25" customHeight="1">
      <c r="A43" s="564"/>
      <c r="B43" s="68"/>
      <c r="C43" s="68"/>
      <c r="H43" s="140"/>
      <c r="I43" s="140"/>
      <c r="K43" s="63"/>
      <c r="L43" s="68"/>
      <c r="M43" s="68"/>
      <c r="N43" s="63"/>
      <c r="O43" s="63"/>
      <c r="P43" s="63"/>
      <c r="Q43" s="63"/>
      <c r="R43" s="68"/>
      <c r="S43" s="63"/>
      <c r="T43" s="63"/>
      <c r="U43" s="307"/>
      <c r="V43" s="63"/>
      <c r="W43" s="63"/>
      <c r="X43" s="63"/>
      <c r="Y43" s="63"/>
      <c r="Z43" s="63"/>
      <c r="AA43" s="9"/>
      <c r="AB43" s="140"/>
      <c r="AC43" s="140"/>
      <c r="AD43" s="140"/>
      <c r="AE43" s="140"/>
    </row>
    <row r="44" spans="1:31" s="201" customFormat="1" ht="11.25" customHeight="1">
      <c r="A44" s="564"/>
      <c r="B44" s="68"/>
      <c r="C44" s="68"/>
      <c r="K44" s="63"/>
      <c r="L44" s="68"/>
      <c r="M44" s="68"/>
      <c r="N44" s="63"/>
      <c r="O44" s="63"/>
      <c r="P44" s="63"/>
      <c r="Q44" s="63"/>
      <c r="R44" s="68"/>
      <c r="S44" s="63"/>
      <c r="T44" s="63"/>
      <c r="U44" s="307"/>
      <c r="V44" s="63"/>
      <c r="W44" s="63"/>
      <c r="X44" s="63"/>
      <c r="Y44" s="63"/>
      <c r="Z44" s="63"/>
      <c r="AA44" s="9"/>
      <c r="AB44" s="140"/>
      <c r="AC44" s="140"/>
      <c r="AD44" s="140"/>
      <c r="AE44" s="140"/>
    </row>
    <row r="45" spans="1:31" s="201" customFormat="1" ht="11.25" customHeight="1">
      <c r="A45" s="564"/>
      <c r="B45" s="68"/>
      <c r="C45" s="68"/>
      <c r="K45" s="63"/>
      <c r="L45" s="68"/>
      <c r="M45" s="68"/>
      <c r="N45" s="63"/>
      <c r="O45" s="63"/>
      <c r="P45" s="63"/>
      <c r="Q45" s="63"/>
      <c r="R45" s="68"/>
      <c r="S45" s="63"/>
      <c r="T45" s="63"/>
      <c r="U45" s="307"/>
      <c r="V45" s="63"/>
      <c r="W45" s="63"/>
      <c r="X45" s="63"/>
      <c r="Y45" s="63"/>
      <c r="Z45" s="63"/>
      <c r="AA45" s="9"/>
      <c r="AB45" s="140"/>
      <c r="AC45" s="140"/>
      <c r="AD45" s="140"/>
      <c r="AE45" s="140"/>
    </row>
    <row r="46" spans="1:31" s="201" customFormat="1" ht="11.25" customHeight="1">
      <c r="A46" s="564"/>
      <c r="B46" s="68"/>
      <c r="C46" s="68"/>
      <c r="K46" s="63"/>
      <c r="L46" s="68"/>
      <c r="M46" s="68"/>
      <c r="N46" s="63"/>
      <c r="O46" s="63"/>
      <c r="P46" s="63"/>
      <c r="Q46" s="63"/>
      <c r="R46" s="68"/>
      <c r="S46" s="63"/>
      <c r="T46" s="63"/>
      <c r="U46" s="307"/>
      <c r="V46" s="63"/>
      <c r="W46" s="63"/>
      <c r="X46" s="63"/>
      <c r="Y46" s="63"/>
      <c r="Z46" s="63"/>
      <c r="AA46" s="9"/>
      <c r="AB46" s="140"/>
      <c r="AC46" s="140"/>
      <c r="AD46" s="140"/>
      <c r="AE46" s="140"/>
    </row>
    <row r="47" spans="1:31" s="201" customFormat="1" ht="11.25" customHeight="1">
      <c r="A47" s="564"/>
      <c r="B47" s="68"/>
      <c r="C47" s="68"/>
      <c r="K47" s="63"/>
      <c r="L47" s="68"/>
      <c r="M47" s="68"/>
      <c r="N47" s="63"/>
      <c r="O47" s="63"/>
      <c r="P47" s="63"/>
      <c r="Q47" s="63"/>
      <c r="R47" s="68"/>
      <c r="S47" s="63"/>
      <c r="T47" s="63"/>
      <c r="U47" s="307"/>
      <c r="V47" s="63"/>
      <c r="W47" s="63"/>
      <c r="X47" s="63"/>
      <c r="Y47" s="63"/>
      <c r="Z47" s="63"/>
      <c r="AA47" s="9"/>
      <c r="AB47" s="140"/>
      <c r="AC47" s="140"/>
      <c r="AD47" s="140"/>
      <c r="AE47" s="140"/>
    </row>
    <row r="48" spans="1:31" s="201" customFormat="1" ht="11.25" customHeight="1">
      <c r="A48" s="564"/>
      <c r="B48" s="68"/>
      <c r="C48" s="68"/>
      <c r="K48" s="63"/>
      <c r="L48" s="68"/>
      <c r="M48" s="68"/>
      <c r="N48" s="63"/>
      <c r="O48" s="63"/>
      <c r="P48" s="63"/>
      <c r="Q48" s="63"/>
      <c r="R48" s="68"/>
      <c r="S48" s="63"/>
      <c r="T48" s="63"/>
      <c r="U48" s="307"/>
      <c r="V48" s="63"/>
      <c r="W48" s="63"/>
      <c r="X48" s="63"/>
      <c r="Y48" s="63"/>
      <c r="Z48" s="63"/>
      <c r="AA48" s="9"/>
      <c r="AB48" s="140"/>
      <c r="AC48" s="140"/>
      <c r="AD48" s="140"/>
      <c r="AE48" s="140"/>
    </row>
    <row r="49" spans="1:31" s="201" customFormat="1" ht="11.25" customHeight="1">
      <c r="A49" s="564"/>
      <c r="B49" s="68"/>
      <c r="C49" s="68"/>
      <c r="K49" s="63"/>
      <c r="L49" s="68"/>
      <c r="M49" s="68"/>
      <c r="N49" s="63"/>
      <c r="O49" s="63"/>
      <c r="P49" s="63"/>
      <c r="Q49" s="63"/>
      <c r="R49" s="68"/>
      <c r="S49" s="63"/>
      <c r="T49" s="63"/>
      <c r="U49" s="307"/>
      <c r="V49" s="63"/>
      <c r="W49" s="63"/>
      <c r="X49" s="63"/>
      <c r="Y49" s="63"/>
      <c r="Z49" s="63"/>
      <c r="AA49" s="9"/>
      <c r="AB49" s="140"/>
      <c r="AC49" s="140"/>
      <c r="AD49" s="140"/>
      <c r="AE49" s="140"/>
    </row>
    <row r="50" spans="1:31" s="201" customFormat="1" ht="11.25" customHeight="1">
      <c r="A50" s="564"/>
      <c r="B50" s="68"/>
      <c r="C50" s="68"/>
      <c r="K50" s="63"/>
      <c r="L50" s="68"/>
      <c r="M50" s="68"/>
      <c r="N50" s="63"/>
      <c r="O50" s="63"/>
      <c r="P50" s="63"/>
      <c r="Q50" s="63"/>
      <c r="R50" s="68"/>
      <c r="S50" s="63"/>
      <c r="T50" s="63"/>
      <c r="U50" s="307"/>
      <c r="V50" s="63"/>
      <c r="W50" s="63"/>
      <c r="X50" s="63"/>
      <c r="Y50" s="63"/>
      <c r="Z50" s="63"/>
      <c r="AA50" s="9"/>
      <c r="AB50" s="140"/>
      <c r="AC50" s="140"/>
      <c r="AD50" s="140"/>
      <c r="AE50" s="140"/>
    </row>
    <row r="51" spans="1:31" s="201" customFormat="1" ht="11.25" customHeight="1">
      <c r="A51" s="564"/>
      <c r="B51" s="68"/>
      <c r="C51" s="68"/>
      <c r="K51" s="63"/>
      <c r="L51" s="68"/>
      <c r="M51" s="68"/>
      <c r="N51" s="63"/>
      <c r="O51" s="63"/>
      <c r="P51" s="63"/>
      <c r="Q51" s="63"/>
      <c r="R51" s="68"/>
      <c r="S51" s="63"/>
      <c r="T51" s="63"/>
      <c r="U51" s="307"/>
      <c r="V51" s="63"/>
      <c r="W51" s="63"/>
      <c r="X51" s="63"/>
      <c r="Y51" s="63"/>
      <c r="Z51" s="63"/>
      <c r="AA51" s="9"/>
      <c r="AB51" s="140"/>
      <c r="AC51" s="140"/>
      <c r="AD51" s="140"/>
      <c r="AE51" s="140"/>
    </row>
    <row r="52" spans="1:31" s="201" customFormat="1" ht="11.25" customHeight="1">
      <c r="A52" s="564"/>
      <c r="B52" s="68"/>
      <c r="C52" s="68"/>
      <c r="K52" s="63"/>
      <c r="L52" s="68"/>
      <c r="M52" s="68"/>
      <c r="N52" s="63"/>
      <c r="O52" s="63"/>
      <c r="P52" s="63"/>
      <c r="Q52" s="63"/>
      <c r="R52" s="68"/>
      <c r="S52" s="63"/>
      <c r="T52" s="63"/>
      <c r="U52" s="307"/>
      <c r="V52" s="63"/>
      <c r="W52" s="63"/>
      <c r="X52" s="63"/>
      <c r="Y52" s="63"/>
      <c r="Z52" s="63"/>
      <c r="AA52" s="9"/>
      <c r="AB52" s="140"/>
      <c r="AC52" s="140"/>
      <c r="AD52" s="140"/>
      <c r="AE52" s="140"/>
    </row>
    <row r="53" spans="1:31" s="201" customFormat="1" ht="11.25" customHeight="1">
      <c r="A53" s="564"/>
      <c r="B53" s="68"/>
      <c r="C53" s="68"/>
      <c r="K53" s="63"/>
      <c r="L53" s="68"/>
      <c r="M53" s="68"/>
      <c r="N53" s="63"/>
      <c r="O53" s="63"/>
      <c r="P53" s="63"/>
      <c r="Q53" s="63"/>
      <c r="R53" s="68"/>
      <c r="S53" s="63"/>
      <c r="T53" s="63"/>
      <c r="U53" s="307"/>
      <c r="V53" s="63"/>
      <c r="W53" s="63"/>
      <c r="X53" s="63"/>
      <c r="Y53" s="63"/>
      <c r="Z53" s="63"/>
      <c r="AA53" s="9"/>
      <c r="AB53" s="140"/>
      <c r="AC53" s="140"/>
      <c r="AD53" s="140"/>
      <c r="AE53" s="140"/>
    </row>
    <row r="54" spans="1:31" s="201" customFormat="1" ht="11.25" customHeight="1">
      <c r="A54" s="564"/>
      <c r="B54" s="68"/>
      <c r="C54" s="68"/>
      <c r="K54" s="63"/>
      <c r="L54" s="68"/>
      <c r="M54" s="68"/>
      <c r="N54" s="63"/>
      <c r="O54" s="63"/>
      <c r="P54" s="63"/>
      <c r="Q54" s="63"/>
      <c r="R54" s="68"/>
      <c r="S54" s="63"/>
      <c r="T54" s="63"/>
      <c r="U54" s="307"/>
      <c r="V54" s="63"/>
      <c r="W54" s="63"/>
      <c r="X54" s="63"/>
      <c r="Y54" s="63"/>
      <c r="Z54" s="63"/>
      <c r="AA54" s="9"/>
      <c r="AB54" s="140"/>
      <c r="AC54" s="140"/>
      <c r="AD54" s="140"/>
      <c r="AE54" s="140"/>
    </row>
    <row r="55" spans="1:31" s="201" customFormat="1" ht="11.25" customHeight="1">
      <c r="A55" s="564"/>
      <c r="B55" s="68"/>
      <c r="C55" s="68"/>
      <c r="K55" s="63"/>
      <c r="L55" s="68"/>
      <c r="M55" s="68"/>
      <c r="N55" s="63"/>
      <c r="O55" s="63"/>
      <c r="P55" s="63"/>
      <c r="Q55" s="63"/>
      <c r="R55" s="68"/>
      <c r="S55" s="63"/>
      <c r="T55" s="63"/>
      <c r="U55" s="307"/>
      <c r="V55" s="63"/>
      <c r="W55" s="63"/>
      <c r="X55" s="63"/>
      <c r="Y55" s="63"/>
      <c r="Z55" s="63"/>
      <c r="AA55" s="9"/>
      <c r="AB55" s="140"/>
      <c r="AC55" s="140"/>
      <c r="AD55" s="140"/>
      <c r="AE55" s="140"/>
    </row>
    <row r="56" spans="1:31" s="201" customFormat="1" ht="11.25" customHeight="1">
      <c r="A56" s="564"/>
      <c r="B56" s="68"/>
      <c r="C56" s="68"/>
      <c r="K56" s="63"/>
      <c r="L56" s="68"/>
      <c r="M56" s="68"/>
      <c r="N56" s="63"/>
      <c r="O56" s="63"/>
      <c r="P56" s="63"/>
      <c r="Q56" s="63"/>
      <c r="R56" s="68"/>
      <c r="S56" s="63"/>
      <c r="T56" s="63"/>
      <c r="U56" s="307"/>
      <c r="V56" s="63"/>
      <c r="W56" s="63"/>
      <c r="X56" s="63"/>
      <c r="Y56" s="63"/>
      <c r="Z56" s="63"/>
      <c r="AA56" s="9"/>
      <c r="AB56" s="140"/>
      <c r="AC56" s="140"/>
      <c r="AD56" s="140"/>
      <c r="AE56" s="140"/>
    </row>
    <row r="57" spans="1:31" s="201" customFormat="1" ht="11.25" customHeight="1">
      <c r="A57" s="564"/>
      <c r="B57" s="68"/>
      <c r="C57" s="68"/>
      <c r="K57" s="63"/>
      <c r="L57" s="68"/>
      <c r="M57" s="68"/>
      <c r="N57" s="63"/>
      <c r="O57" s="63"/>
      <c r="P57" s="63"/>
      <c r="Q57" s="63"/>
      <c r="R57" s="68"/>
      <c r="S57" s="63"/>
      <c r="T57" s="63"/>
      <c r="U57" s="307"/>
      <c r="V57" s="63"/>
      <c r="W57" s="63"/>
      <c r="X57" s="63"/>
      <c r="Y57" s="63"/>
      <c r="Z57" s="63"/>
      <c r="AA57" s="9"/>
      <c r="AB57" s="140"/>
      <c r="AC57" s="140"/>
      <c r="AD57" s="140"/>
      <c r="AE57" s="140"/>
    </row>
    <row r="58" spans="1:31" s="201" customFormat="1" ht="11.25" customHeight="1">
      <c r="A58" s="564"/>
      <c r="B58" s="68"/>
      <c r="C58" s="68"/>
      <c r="K58" s="63"/>
      <c r="L58" s="68"/>
      <c r="M58" s="68"/>
      <c r="N58" s="63"/>
      <c r="O58" s="63"/>
      <c r="P58" s="63"/>
      <c r="Q58" s="63"/>
      <c r="R58" s="68"/>
      <c r="S58" s="63"/>
      <c r="T58" s="63"/>
      <c r="U58" s="307"/>
      <c r="V58" s="63"/>
      <c r="W58" s="63"/>
      <c r="X58" s="63"/>
      <c r="Y58" s="63"/>
      <c r="Z58" s="63"/>
      <c r="AA58" s="9"/>
      <c r="AB58" s="140"/>
      <c r="AC58" s="140"/>
      <c r="AD58" s="140"/>
      <c r="AE58" s="140"/>
    </row>
    <row r="59" spans="1:31" s="201" customFormat="1" ht="11.25" customHeight="1">
      <c r="A59" s="564"/>
      <c r="B59" s="68"/>
      <c r="C59" s="68"/>
      <c r="K59" s="63"/>
      <c r="L59" s="68"/>
      <c r="M59" s="68"/>
      <c r="N59" s="63"/>
      <c r="O59" s="63"/>
      <c r="P59" s="63"/>
      <c r="Q59" s="63"/>
      <c r="R59" s="68"/>
      <c r="S59" s="63"/>
      <c r="T59" s="63"/>
      <c r="U59" s="307"/>
      <c r="V59" s="63"/>
      <c r="W59" s="63"/>
      <c r="X59" s="63"/>
      <c r="Y59" s="63"/>
      <c r="Z59" s="63"/>
      <c r="AA59" s="9"/>
      <c r="AB59" s="140"/>
      <c r="AC59" s="140"/>
      <c r="AD59" s="140"/>
      <c r="AE59" s="140"/>
    </row>
    <row r="60" spans="1:31" s="201" customFormat="1" ht="11.25" customHeight="1">
      <c r="A60" s="564"/>
      <c r="B60" s="68"/>
      <c r="C60" s="68"/>
      <c r="K60" s="63"/>
      <c r="L60" s="68"/>
      <c r="M60" s="68"/>
      <c r="N60" s="63"/>
      <c r="O60" s="63"/>
      <c r="P60" s="63"/>
      <c r="Q60" s="63"/>
      <c r="R60" s="68"/>
      <c r="S60" s="63"/>
      <c r="T60" s="63"/>
      <c r="U60" s="307"/>
      <c r="V60" s="63"/>
      <c r="W60" s="63"/>
      <c r="X60" s="63"/>
      <c r="Y60" s="63"/>
      <c r="Z60" s="63"/>
      <c r="AA60" s="9"/>
      <c r="AB60" s="140"/>
      <c r="AC60" s="140"/>
      <c r="AD60" s="140"/>
      <c r="AE60" s="140"/>
    </row>
    <row r="61" spans="1:31" s="201" customFormat="1" ht="11.25" customHeight="1">
      <c r="A61" s="564"/>
      <c r="B61" s="68"/>
      <c r="C61" s="68"/>
      <c r="K61" s="63"/>
      <c r="L61" s="68"/>
      <c r="M61" s="68"/>
      <c r="N61" s="63"/>
      <c r="O61" s="63"/>
      <c r="P61" s="63"/>
      <c r="Q61" s="63"/>
      <c r="R61" s="68"/>
      <c r="S61" s="63"/>
      <c r="T61" s="63"/>
      <c r="U61" s="307"/>
      <c r="V61" s="63"/>
      <c r="W61" s="63"/>
      <c r="X61" s="63"/>
      <c r="Y61" s="63"/>
      <c r="Z61" s="63"/>
      <c r="AA61" s="9"/>
      <c r="AB61" s="140"/>
      <c r="AC61" s="140"/>
      <c r="AD61" s="140"/>
      <c r="AE61" s="140"/>
    </row>
    <row r="62" spans="1:31" s="201" customFormat="1" ht="11.25" customHeight="1">
      <c r="A62" s="564"/>
      <c r="B62" s="68"/>
      <c r="C62" s="68"/>
      <c r="K62" s="63"/>
      <c r="L62" s="68"/>
      <c r="M62" s="68"/>
      <c r="N62" s="63"/>
      <c r="O62" s="63"/>
      <c r="P62" s="63"/>
      <c r="Q62" s="63"/>
      <c r="R62" s="68"/>
      <c r="S62" s="63"/>
      <c r="T62" s="63"/>
      <c r="U62" s="307"/>
      <c r="V62" s="63"/>
      <c r="W62" s="63"/>
      <c r="X62" s="63"/>
      <c r="Y62" s="63"/>
      <c r="Z62" s="63"/>
      <c r="AA62" s="9"/>
      <c r="AB62" s="140"/>
      <c r="AC62" s="140"/>
      <c r="AD62" s="140"/>
      <c r="AE62" s="140"/>
    </row>
    <row r="63" spans="1:31" s="201" customFormat="1" ht="11.25" customHeight="1">
      <c r="A63" s="564"/>
      <c r="B63" s="68"/>
      <c r="C63" s="68"/>
      <c r="K63" s="63"/>
      <c r="L63" s="68"/>
      <c r="M63" s="68"/>
      <c r="N63" s="63"/>
      <c r="O63" s="63"/>
      <c r="P63" s="63"/>
      <c r="Q63" s="63"/>
      <c r="R63" s="68"/>
      <c r="S63" s="63"/>
      <c r="T63" s="63"/>
      <c r="U63" s="307"/>
      <c r="V63" s="63"/>
      <c r="W63" s="63"/>
      <c r="X63" s="63"/>
      <c r="Y63" s="63"/>
      <c r="Z63" s="63"/>
      <c r="AA63" s="9"/>
      <c r="AB63" s="140"/>
      <c r="AC63" s="140"/>
      <c r="AD63" s="140"/>
      <c r="AE63" s="140"/>
    </row>
    <row r="64" spans="1:31" s="201" customFormat="1" ht="11.25" customHeight="1">
      <c r="A64" s="564"/>
      <c r="B64" s="68"/>
      <c r="C64" s="68"/>
      <c r="K64" s="63"/>
      <c r="L64" s="68"/>
      <c r="M64" s="68"/>
      <c r="N64" s="63"/>
      <c r="O64" s="63"/>
      <c r="P64" s="63"/>
      <c r="Q64" s="63"/>
      <c r="R64" s="68"/>
      <c r="S64" s="63"/>
      <c r="T64" s="63"/>
      <c r="U64" s="307"/>
      <c r="V64" s="63"/>
      <c r="W64" s="63"/>
      <c r="X64" s="63"/>
      <c r="Y64" s="63"/>
      <c r="Z64" s="63"/>
      <c r="AA64" s="9"/>
      <c r="AB64" s="140"/>
      <c r="AC64" s="140"/>
      <c r="AD64" s="140"/>
      <c r="AE64" s="140"/>
    </row>
    <row r="65" spans="1:31" s="201" customFormat="1" ht="11.25" customHeight="1">
      <c r="A65" s="564"/>
      <c r="B65" s="68"/>
      <c r="C65" s="68"/>
      <c r="K65" s="63"/>
      <c r="L65" s="68"/>
      <c r="M65" s="68"/>
      <c r="N65" s="63"/>
      <c r="O65" s="63"/>
      <c r="P65" s="63"/>
      <c r="Q65" s="63"/>
      <c r="R65" s="68"/>
      <c r="S65" s="63"/>
      <c r="T65" s="63"/>
      <c r="U65" s="307"/>
      <c r="V65" s="63"/>
      <c r="W65" s="63"/>
      <c r="X65" s="63"/>
      <c r="Y65" s="63"/>
      <c r="Z65" s="63"/>
      <c r="AA65" s="9"/>
      <c r="AB65" s="140"/>
      <c r="AC65" s="140"/>
      <c r="AD65" s="140"/>
      <c r="AE65" s="140"/>
    </row>
    <row r="66" spans="1:31" s="201" customFormat="1" ht="11.25" customHeight="1">
      <c r="A66" s="564"/>
      <c r="B66" s="68"/>
      <c r="C66" s="68"/>
      <c r="K66" s="63"/>
      <c r="L66" s="68"/>
      <c r="M66" s="68"/>
      <c r="N66" s="63"/>
      <c r="O66" s="63"/>
      <c r="P66" s="63"/>
      <c r="Q66" s="63"/>
      <c r="R66" s="68"/>
      <c r="S66" s="63"/>
      <c r="T66" s="63"/>
      <c r="U66" s="307"/>
      <c r="V66" s="63"/>
      <c r="W66" s="63"/>
      <c r="X66" s="63"/>
      <c r="Y66" s="63"/>
      <c r="Z66" s="63"/>
      <c r="AA66" s="9"/>
      <c r="AB66" s="140"/>
      <c r="AC66" s="140"/>
      <c r="AD66" s="140"/>
      <c r="AE66" s="140"/>
    </row>
    <row r="67" spans="1:31" s="201" customFormat="1" ht="11.25" customHeight="1">
      <c r="A67" s="564"/>
      <c r="B67" s="68"/>
      <c r="C67" s="68"/>
      <c r="K67" s="63"/>
      <c r="L67" s="68"/>
      <c r="M67" s="68"/>
      <c r="N67" s="63"/>
      <c r="O67" s="63"/>
      <c r="P67" s="63"/>
      <c r="Q67" s="63"/>
      <c r="R67" s="68"/>
      <c r="S67" s="63"/>
      <c r="T67" s="63"/>
      <c r="U67" s="307"/>
      <c r="V67" s="63"/>
      <c r="W67" s="63"/>
      <c r="X67" s="63"/>
      <c r="Y67" s="63"/>
      <c r="Z67" s="63"/>
      <c r="AA67" s="9"/>
      <c r="AB67" s="140"/>
      <c r="AC67" s="140"/>
      <c r="AD67" s="140"/>
      <c r="AE67" s="140"/>
    </row>
    <row r="68" spans="1:31" s="201" customFormat="1" ht="11.25" customHeight="1">
      <c r="A68" s="564"/>
      <c r="B68" s="68"/>
      <c r="C68" s="68"/>
      <c r="K68" s="63"/>
      <c r="L68" s="68"/>
      <c r="M68" s="68"/>
      <c r="N68" s="63"/>
      <c r="O68" s="63"/>
      <c r="P68" s="63"/>
      <c r="Q68" s="63"/>
      <c r="R68" s="68"/>
      <c r="S68" s="63"/>
      <c r="T68" s="63"/>
      <c r="U68" s="307"/>
      <c r="V68" s="63"/>
      <c r="W68" s="63"/>
      <c r="X68" s="63"/>
      <c r="Y68" s="63"/>
      <c r="Z68" s="63"/>
      <c r="AA68" s="9"/>
      <c r="AB68" s="140"/>
      <c r="AC68" s="140"/>
      <c r="AD68" s="140"/>
      <c r="AE68" s="140"/>
    </row>
    <row r="69" spans="1:31" s="201" customFormat="1" ht="11.25" customHeight="1">
      <c r="A69" s="564"/>
      <c r="B69" s="68"/>
      <c r="C69" s="68"/>
      <c r="K69" s="63"/>
      <c r="L69" s="68"/>
      <c r="M69" s="68"/>
      <c r="N69" s="63"/>
      <c r="O69" s="63"/>
      <c r="P69" s="63"/>
      <c r="Q69" s="63"/>
      <c r="R69" s="68"/>
      <c r="S69" s="63"/>
      <c r="T69" s="63"/>
      <c r="U69" s="307"/>
      <c r="V69" s="63"/>
      <c r="W69" s="63"/>
      <c r="X69" s="63"/>
      <c r="Y69" s="63"/>
      <c r="Z69" s="63"/>
      <c r="AA69" s="9"/>
      <c r="AB69" s="140"/>
      <c r="AC69" s="140"/>
      <c r="AD69" s="140"/>
      <c r="AE69" s="140"/>
    </row>
    <row r="70" spans="1:31" s="201" customFormat="1" ht="11.25" customHeight="1">
      <c r="A70" s="564"/>
      <c r="B70" s="68"/>
      <c r="C70" s="68"/>
      <c r="K70" s="63"/>
      <c r="L70" s="68"/>
      <c r="M70" s="68"/>
      <c r="N70" s="63"/>
      <c r="O70" s="63"/>
      <c r="P70" s="63"/>
      <c r="Q70" s="63"/>
      <c r="R70" s="68"/>
      <c r="S70" s="63"/>
      <c r="T70" s="63"/>
      <c r="U70" s="307"/>
      <c r="V70" s="63"/>
      <c r="W70" s="63"/>
      <c r="X70" s="63"/>
      <c r="Y70" s="63"/>
      <c r="Z70" s="63"/>
      <c r="AA70" s="9"/>
      <c r="AB70" s="140"/>
      <c r="AC70" s="140"/>
      <c r="AD70" s="140"/>
      <c r="AE70" s="140"/>
    </row>
    <row r="71" spans="1:31" s="201" customFormat="1" ht="11.25" customHeight="1">
      <c r="A71" s="564"/>
      <c r="B71" s="68"/>
      <c r="C71" s="68"/>
      <c r="K71" s="63"/>
      <c r="L71" s="68"/>
      <c r="M71" s="68"/>
      <c r="N71" s="63"/>
      <c r="O71" s="63"/>
      <c r="P71" s="63"/>
      <c r="Q71" s="63"/>
      <c r="R71" s="68"/>
      <c r="S71" s="63"/>
      <c r="T71" s="63"/>
      <c r="U71" s="307"/>
      <c r="V71" s="63"/>
      <c r="W71" s="63"/>
      <c r="X71" s="63"/>
      <c r="Y71" s="63"/>
      <c r="Z71" s="63"/>
      <c r="AA71" s="9"/>
      <c r="AB71" s="140"/>
      <c r="AC71" s="140"/>
      <c r="AD71" s="140"/>
      <c r="AE71" s="140"/>
    </row>
    <row r="72" spans="1:31" s="201" customFormat="1" ht="11.25" customHeight="1">
      <c r="A72" s="564"/>
      <c r="B72" s="68"/>
      <c r="C72" s="68"/>
      <c r="K72" s="63"/>
      <c r="L72" s="68"/>
      <c r="M72" s="68"/>
      <c r="N72" s="63"/>
      <c r="O72" s="63"/>
      <c r="P72" s="63"/>
      <c r="Q72" s="63"/>
      <c r="R72" s="68"/>
      <c r="S72" s="63"/>
      <c r="T72" s="63"/>
      <c r="U72" s="307"/>
      <c r="V72" s="63"/>
      <c r="W72" s="63"/>
      <c r="X72" s="63"/>
      <c r="Y72" s="63"/>
      <c r="Z72" s="63"/>
      <c r="AA72" s="9"/>
      <c r="AB72" s="140"/>
      <c r="AC72" s="140"/>
      <c r="AD72" s="140"/>
      <c r="AE72" s="140"/>
    </row>
    <row r="73" spans="1:31" s="201" customFormat="1" ht="11.25" customHeight="1">
      <c r="A73" s="564"/>
      <c r="B73" s="68"/>
      <c r="C73" s="68"/>
      <c r="K73" s="63"/>
      <c r="L73" s="68"/>
      <c r="M73" s="68"/>
      <c r="N73" s="63"/>
      <c r="O73" s="63"/>
      <c r="P73" s="63"/>
      <c r="Q73" s="63"/>
      <c r="R73" s="68"/>
      <c r="S73" s="63"/>
      <c r="T73" s="63"/>
      <c r="U73" s="307"/>
      <c r="V73" s="63"/>
      <c r="W73" s="63"/>
      <c r="X73" s="63"/>
      <c r="Y73" s="63"/>
      <c r="Z73" s="63"/>
      <c r="AA73" s="9"/>
      <c r="AB73" s="140"/>
      <c r="AC73" s="140"/>
      <c r="AD73" s="140"/>
      <c r="AE73" s="140"/>
    </row>
    <row r="74" spans="1:31" s="201" customFormat="1" ht="11.25" customHeight="1">
      <c r="A74" s="564"/>
      <c r="B74" s="68"/>
      <c r="C74" s="68"/>
      <c r="K74" s="63"/>
      <c r="L74" s="68"/>
      <c r="M74" s="68"/>
      <c r="N74" s="63"/>
      <c r="O74" s="63"/>
      <c r="P74" s="63"/>
      <c r="Q74" s="63"/>
      <c r="R74" s="68"/>
      <c r="S74" s="63"/>
      <c r="T74" s="63"/>
      <c r="U74" s="307"/>
      <c r="V74" s="63"/>
      <c r="W74" s="63"/>
      <c r="X74" s="63"/>
      <c r="Y74" s="63"/>
      <c r="Z74" s="63"/>
      <c r="AA74" s="9"/>
      <c r="AB74" s="140"/>
      <c r="AC74" s="140"/>
      <c r="AD74" s="140"/>
      <c r="AE74" s="140"/>
    </row>
    <row r="75" spans="1:31" s="201" customFormat="1" ht="11.25" customHeight="1">
      <c r="A75" s="564"/>
      <c r="B75" s="68"/>
      <c r="C75" s="68"/>
      <c r="K75" s="63"/>
      <c r="L75" s="68"/>
      <c r="M75" s="68"/>
      <c r="N75" s="63"/>
      <c r="O75" s="63"/>
      <c r="P75" s="63"/>
      <c r="Q75" s="63"/>
      <c r="R75" s="68"/>
      <c r="S75" s="63"/>
      <c r="T75" s="63"/>
      <c r="U75" s="307"/>
      <c r="V75" s="63"/>
      <c r="W75" s="63"/>
      <c r="X75" s="63"/>
      <c r="Y75" s="63"/>
      <c r="Z75" s="63"/>
      <c r="AA75" s="9"/>
      <c r="AB75" s="140"/>
      <c r="AC75" s="140"/>
      <c r="AD75" s="140"/>
      <c r="AE75" s="140"/>
    </row>
    <row r="76" spans="1:31" s="201" customFormat="1" ht="11.25" customHeight="1">
      <c r="A76" s="564"/>
      <c r="B76" s="68"/>
      <c r="C76" s="68"/>
      <c r="K76" s="63"/>
      <c r="L76" s="68"/>
      <c r="M76" s="68"/>
      <c r="N76" s="63"/>
      <c r="O76" s="63"/>
      <c r="P76" s="63"/>
      <c r="Q76" s="63"/>
      <c r="R76" s="68"/>
      <c r="S76" s="63"/>
      <c r="T76" s="63"/>
      <c r="U76" s="307"/>
      <c r="V76" s="63"/>
      <c r="W76" s="63"/>
      <c r="X76" s="63"/>
      <c r="Y76" s="63"/>
      <c r="Z76" s="63"/>
      <c r="AA76" s="9"/>
      <c r="AB76" s="140"/>
      <c r="AC76" s="140"/>
      <c r="AD76" s="140"/>
      <c r="AE76" s="140"/>
    </row>
    <row r="77" spans="1:31" s="201" customFormat="1" ht="11.25" customHeight="1">
      <c r="A77" s="564"/>
      <c r="B77" s="68"/>
      <c r="C77" s="68"/>
      <c r="K77" s="63"/>
      <c r="L77" s="68"/>
      <c r="M77" s="68"/>
      <c r="N77" s="63"/>
      <c r="O77" s="63"/>
      <c r="P77" s="63"/>
      <c r="Q77" s="63"/>
      <c r="R77" s="68"/>
      <c r="S77" s="63"/>
      <c r="T77" s="63"/>
      <c r="U77" s="307"/>
      <c r="V77" s="63"/>
      <c r="W77" s="63"/>
      <c r="X77" s="63"/>
      <c r="Y77" s="63"/>
      <c r="Z77" s="63"/>
      <c r="AA77" s="9"/>
      <c r="AB77" s="140"/>
      <c r="AC77" s="140"/>
      <c r="AD77" s="140"/>
      <c r="AE77" s="140"/>
    </row>
    <row r="78" spans="1:31" s="201" customFormat="1" ht="11.25" customHeight="1">
      <c r="A78" s="564"/>
      <c r="B78" s="68"/>
      <c r="C78" s="68"/>
      <c r="K78" s="63"/>
      <c r="L78" s="68"/>
      <c r="M78" s="68"/>
      <c r="N78" s="63"/>
      <c r="O78" s="63"/>
      <c r="P78" s="63"/>
      <c r="Q78" s="63"/>
      <c r="R78" s="68"/>
      <c r="S78" s="63"/>
      <c r="T78" s="63"/>
      <c r="U78" s="307"/>
      <c r="V78" s="63"/>
      <c r="W78" s="63"/>
      <c r="X78" s="63"/>
      <c r="Y78" s="63"/>
      <c r="Z78" s="63"/>
      <c r="AA78" s="9"/>
      <c r="AB78" s="140"/>
      <c r="AC78" s="140"/>
      <c r="AD78" s="140"/>
      <c r="AE78" s="140"/>
    </row>
    <row r="79" spans="1:31" s="201" customFormat="1" ht="11.25" customHeight="1">
      <c r="A79" s="564"/>
      <c r="B79" s="68"/>
      <c r="C79" s="68"/>
      <c r="K79" s="63"/>
      <c r="L79" s="68"/>
      <c r="M79" s="68"/>
      <c r="N79" s="63"/>
      <c r="O79" s="63"/>
      <c r="P79" s="63"/>
      <c r="Q79" s="63"/>
      <c r="R79" s="68"/>
      <c r="S79" s="63"/>
      <c r="T79" s="63"/>
      <c r="U79" s="307"/>
      <c r="V79" s="63"/>
      <c r="W79" s="63"/>
      <c r="X79" s="63"/>
      <c r="Y79" s="63"/>
      <c r="Z79" s="63"/>
      <c r="AA79" s="9"/>
      <c r="AB79" s="140"/>
      <c r="AC79" s="140"/>
      <c r="AD79" s="140"/>
      <c r="AE79" s="140"/>
    </row>
    <row r="80" spans="1:31" s="201" customFormat="1" ht="11.25" customHeight="1">
      <c r="A80" s="564"/>
      <c r="B80" s="68"/>
      <c r="C80" s="68"/>
      <c r="K80" s="63"/>
      <c r="L80" s="68"/>
      <c r="M80" s="68"/>
      <c r="N80" s="63"/>
      <c r="O80" s="63"/>
      <c r="P80" s="63"/>
      <c r="Q80" s="63"/>
      <c r="R80" s="68"/>
      <c r="S80" s="63"/>
      <c r="T80" s="63"/>
      <c r="U80" s="307"/>
      <c r="V80" s="63"/>
      <c r="W80" s="63"/>
      <c r="X80" s="63"/>
      <c r="Y80" s="63"/>
      <c r="Z80" s="63"/>
      <c r="AA80" s="9"/>
      <c r="AB80" s="140"/>
      <c r="AC80" s="140"/>
      <c r="AD80" s="140"/>
      <c r="AE80" s="140"/>
    </row>
    <row r="81" spans="1:31" s="201" customFormat="1" ht="11.25" customHeight="1">
      <c r="A81" s="564"/>
      <c r="B81" s="68"/>
      <c r="C81" s="68"/>
      <c r="K81" s="63"/>
      <c r="L81" s="68"/>
      <c r="M81" s="68"/>
      <c r="N81" s="63"/>
      <c r="O81" s="63"/>
      <c r="P81" s="63"/>
      <c r="Q81" s="63"/>
      <c r="R81" s="68"/>
      <c r="S81" s="63"/>
      <c r="T81" s="63"/>
      <c r="U81" s="307"/>
      <c r="V81" s="63"/>
      <c r="W81" s="63"/>
      <c r="X81" s="63"/>
      <c r="Y81" s="63"/>
      <c r="Z81" s="63"/>
      <c r="AA81" s="9"/>
      <c r="AB81" s="140"/>
      <c r="AC81" s="140"/>
      <c r="AD81" s="140"/>
      <c r="AE81" s="140"/>
    </row>
    <row r="82" spans="1:31" s="201" customFormat="1" ht="11.25" customHeight="1">
      <c r="A82" s="564"/>
      <c r="B82" s="68"/>
      <c r="C82" s="68"/>
      <c r="K82" s="63"/>
      <c r="L82" s="68"/>
      <c r="M82" s="68"/>
      <c r="N82" s="63"/>
      <c r="O82" s="63"/>
      <c r="P82" s="63"/>
      <c r="Q82" s="63"/>
      <c r="R82" s="68"/>
      <c r="S82" s="63"/>
      <c r="T82" s="63"/>
      <c r="U82" s="307"/>
      <c r="V82" s="63"/>
      <c r="W82" s="63"/>
      <c r="X82" s="63"/>
      <c r="Y82" s="63"/>
      <c r="Z82" s="63"/>
      <c r="AA82" s="9"/>
      <c r="AB82" s="140"/>
      <c r="AC82" s="140"/>
      <c r="AD82" s="140"/>
      <c r="AE82" s="140"/>
    </row>
    <row r="83" spans="1:31" s="201" customFormat="1" ht="11.25" customHeight="1">
      <c r="A83" s="564"/>
      <c r="B83" s="68"/>
      <c r="C83" s="68"/>
      <c r="K83" s="63"/>
      <c r="L83" s="68"/>
      <c r="M83" s="68"/>
      <c r="N83" s="63"/>
      <c r="O83" s="63"/>
      <c r="P83" s="63"/>
      <c r="Q83" s="63"/>
      <c r="R83" s="68"/>
      <c r="S83" s="63"/>
      <c r="T83" s="63"/>
      <c r="U83" s="307"/>
      <c r="V83" s="63"/>
      <c r="W83" s="63"/>
      <c r="X83" s="63"/>
      <c r="Y83" s="63"/>
      <c r="Z83" s="63"/>
      <c r="AA83" s="9"/>
      <c r="AB83" s="140"/>
      <c r="AC83" s="140"/>
      <c r="AD83" s="140"/>
      <c r="AE83" s="140"/>
    </row>
    <row r="84" spans="1:31" s="201" customFormat="1" ht="11.25" customHeight="1">
      <c r="A84" s="564"/>
      <c r="B84" s="68"/>
      <c r="C84" s="68"/>
      <c r="K84" s="63"/>
      <c r="L84" s="68"/>
      <c r="M84" s="68"/>
      <c r="N84" s="63"/>
      <c r="O84" s="63"/>
      <c r="P84" s="63"/>
      <c r="Q84" s="63"/>
      <c r="R84" s="68"/>
      <c r="S84" s="63"/>
      <c r="T84" s="63"/>
      <c r="U84" s="307"/>
      <c r="V84" s="63"/>
      <c r="W84" s="63"/>
      <c r="X84" s="63"/>
      <c r="Y84" s="63"/>
      <c r="Z84" s="63"/>
      <c r="AA84" s="9"/>
      <c r="AB84" s="140"/>
      <c r="AC84" s="140"/>
      <c r="AD84" s="140"/>
      <c r="AE84" s="140"/>
    </row>
    <row r="85" spans="1:31" s="201" customFormat="1" ht="11.25" customHeight="1">
      <c r="A85" s="564"/>
      <c r="B85" s="68"/>
      <c r="C85" s="68"/>
      <c r="K85" s="63"/>
      <c r="L85" s="68"/>
      <c r="M85" s="68"/>
      <c r="N85" s="63"/>
      <c r="O85" s="63"/>
      <c r="P85" s="63"/>
      <c r="Q85" s="63"/>
      <c r="R85" s="68"/>
      <c r="S85" s="63"/>
      <c r="T85" s="63"/>
      <c r="U85" s="307"/>
      <c r="V85" s="63"/>
      <c r="W85" s="63"/>
      <c r="X85" s="63"/>
      <c r="Y85" s="63"/>
      <c r="Z85" s="63"/>
      <c r="AA85" s="9"/>
      <c r="AB85" s="140"/>
      <c r="AC85" s="140"/>
      <c r="AD85" s="140"/>
      <c r="AE85" s="140"/>
    </row>
    <row r="86" spans="1:31" s="201" customFormat="1" ht="11.25" customHeight="1">
      <c r="A86" s="564"/>
      <c r="B86" s="68"/>
      <c r="C86" s="68"/>
      <c r="K86" s="63"/>
      <c r="L86" s="68"/>
      <c r="M86" s="68"/>
      <c r="N86" s="63"/>
      <c r="O86" s="63"/>
      <c r="P86" s="63"/>
      <c r="Q86" s="63"/>
      <c r="R86" s="68"/>
      <c r="S86" s="63"/>
      <c r="T86" s="63"/>
      <c r="U86" s="307"/>
      <c r="V86" s="63"/>
      <c r="W86" s="63"/>
      <c r="X86" s="63"/>
      <c r="Y86" s="63"/>
      <c r="Z86" s="63"/>
      <c r="AA86" s="9"/>
      <c r="AB86" s="140"/>
      <c r="AC86" s="140"/>
      <c r="AD86" s="140"/>
      <c r="AE86" s="140"/>
    </row>
    <row r="87" spans="1:31" s="201" customFormat="1" ht="11.25" customHeight="1">
      <c r="A87" s="564"/>
      <c r="B87" s="68"/>
      <c r="C87" s="68"/>
      <c r="K87" s="63"/>
      <c r="L87" s="68"/>
      <c r="M87" s="68"/>
      <c r="N87" s="63"/>
      <c r="O87" s="63"/>
      <c r="P87" s="63"/>
      <c r="Q87" s="63"/>
      <c r="R87" s="68"/>
      <c r="S87" s="63"/>
      <c r="T87" s="63"/>
      <c r="U87" s="307"/>
      <c r="V87" s="63"/>
      <c r="W87" s="63"/>
      <c r="X87" s="63"/>
      <c r="Y87" s="63"/>
      <c r="Z87" s="63"/>
      <c r="AA87" s="9"/>
      <c r="AB87" s="140"/>
      <c r="AC87" s="140"/>
      <c r="AD87" s="140"/>
      <c r="AE87" s="140"/>
    </row>
    <row r="88" spans="1:31" s="201" customFormat="1" ht="11.25" customHeight="1">
      <c r="A88" s="564"/>
      <c r="B88" s="68"/>
      <c r="C88" s="68"/>
      <c r="K88" s="63"/>
      <c r="L88" s="68"/>
      <c r="M88" s="68"/>
      <c r="N88" s="63"/>
      <c r="O88" s="63"/>
      <c r="P88" s="63"/>
      <c r="Q88" s="63"/>
      <c r="R88" s="68"/>
      <c r="S88" s="63"/>
      <c r="T88" s="63"/>
      <c r="U88" s="307"/>
      <c r="V88" s="63"/>
      <c r="W88" s="63"/>
      <c r="X88" s="63"/>
      <c r="Y88" s="63"/>
      <c r="Z88" s="63"/>
      <c r="AA88" s="9"/>
      <c r="AB88" s="140"/>
      <c r="AC88" s="140"/>
      <c r="AD88" s="140"/>
      <c r="AE88" s="140"/>
    </row>
    <row r="89" spans="1:31" s="201" customFormat="1" ht="11.25" customHeight="1">
      <c r="A89" s="564"/>
      <c r="B89" s="68"/>
      <c r="C89" s="68"/>
      <c r="K89" s="63"/>
      <c r="L89" s="68"/>
      <c r="M89" s="68"/>
      <c r="N89" s="63"/>
      <c r="O89" s="63"/>
      <c r="P89" s="63"/>
      <c r="Q89" s="63"/>
      <c r="R89" s="68"/>
      <c r="S89" s="63"/>
      <c r="T89" s="63"/>
      <c r="U89" s="307"/>
      <c r="V89" s="63"/>
      <c r="W89" s="63"/>
      <c r="X89" s="63"/>
      <c r="Y89" s="63"/>
      <c r="Z89" s="63"/>
      <c r="AA89" s="9"/>
      <c r="AB89" s="140"/>
      <c r="AC89" s="140"/>
      <c r="AD89" s="140"/>
      <c r="AE89" s="140"/>
    </row>
    <row r="90" spans="1:31" s="201" customFormat="1" ht="11.25" customHeight="1">
      <c r="A90" s="564"/>
      <c r="B90" s="68"/>
      <c r="C90" s="68"/>
      <c r="K90" s="63"/>
      <c r="L90" s="68"/>
      <c r="M90" s="68"/>
      <c r="N90" s="63"/>
      <c r="O90" s="63"/>
      <c r="P90" s="63"/>
      <c r="Q90" s="63"/>
      <c r="R90" s="68"/>
      <c r="S90" s="63"/>
      <c r="T90" s="63"/>
      <c r="U90" s="307"/>
      <c r="V90" s="63"/>
      <c r="W90" s="63"/>
      <c r="X90" s="63"/>
      <c r="Y90" s="63"/>
      <c r="Z90" s="63"/>
      <c r="AA90" s="9"/>
      <c r="AB90" s="140"/>
      <c r="AC90" s="140"/>
      <c r="AD90" s="140"/>
      <c r="AE90" s="140"/>
    </row>
    <row r="91" spans="1:31" s="201" customFormat="1" ht="11.25" customHeight="1">
      <c r="A91" s="564"/>
      <c r="B91" s="68"/>
      <c r="C91" s="68"/>
      <c r="K91" s="63"/>
      <c r="L91" s="68"/>
      <c r="M91" s="68"/>
      <c r="N91" s="63"/>
      <c r="O91" s="63"/>
      <c r="P91" s="63"/>
      <c r="Q91" s="63"/>
      <c r="R91" s="68"/>
      <c r="S91" s="63"/>
      <c r="T91" s="63"/>
      <c r="U91" s="307"/>
      <c r="V91" s="63"/>
      <c r="W91" s="63"/>
      <c r="X91" s="63"/>
      <c r="Y91" s="63"/>
      <c r="Z91" s="63"/>
      <c r="AA91" s="9"/>
      <c r="AB91" s="140"/>
      <c r="AC91" s="140"/>
      <c r="AD91" s="140"/>
      <c r="AE91" s="140"/>
    </row>
    <row r="92" spans="1:31" s="201" customFormat="1" ht="11.25" customHeight="1">
      <c r="A92" s="564"/>
      <c r="B92" s="68"/>
      <c r="C92" s="68"/>
      <c r="K92" s="63"/>
      <c r="L92" s="68"/>
      <c r="M92" s="68"/>
      <c r="N92" s="63"/>
      <c r="O92" s="63"/>
      <c r="P92" s="63"/>
      <c r="Q92" s="63"/>
      <c r="R92" s="68"/>
      <c r="S92" s="63"/>
      <c r="T92" s="63"/>
      <c r="U92" s="307"/>
      <c r="V92" s="63"/>
      <c r="W92" s="63"/>
      <c r="X92" s="63"/>
      <c r="Y92" s="63"/>
      <c r="Z92" s="63"/>
      <c r="AA92" s="9"/>
      <c r="AB92" s="140"/>
      <c r="AC92" s="140"/>
      <c r="AD92" s="140"/>
      <c r="AE92" s="140"/>
    </row>
    <row r="93" spans="1:31" s="201" customFormat="1" ht="11.25" customHeight="1">
      <c r="A93" s="564"/>
      <c r="B93" s="68"/>
      <c r="C93" s="68"/>
      <c r="K93" s="63"/>
      <c r="L93" s="68"/>
      <c r="M93" s="68"/>
      <c r="N93" s="63"/>
      <c r="O93" s="63"/>
      <c r="P93" s="63"/>
      <c r="Q93" s="63"/>
      <c r="R93" s="68"/>
      <c r="S93" s="63"/>
      <c r="T93" s="63"/>
      <c r="U93" s="307"/>
      <c r="V93" s="63"/>
      <c r="W93" s="63"/>
      <c r="X93" s="63"/>
      <c r="Y93" s="63"/>
      <c r="Z93" s="63"/>
      <c r="AA93" s="9"/>
      <c r="AB93" s="140"/>
      <c r="AC93" s="140"/>
      <c r="AD93" s="140"/>
      <c r="AE93" s="140"/>
    </row>
    <row r="94" spans="1:31" s="201" customFormat="1" ht="11.25" customHeight="1">
      <c r="A94" s="564"/>
      <c r="B94" s="68"/>
      <c r="C94" s="68"/>
      <c r="K94" s="63"/>
      <c r="L94" s="68"/>
      <c r="M94" s="68"/>
      <c r="N94" s="63"/>
      <c r="O94" s="63"/>
      <c r="P94" s="63"/>
      <c r="Q94" s="63"/>
      <c r="R94" s="68"/>
      <c r="S94" s="63"/>
      <c r="T94" s="63"/>
      <c r="U94" s="307"/>
      <c r="V94" s="63"/>
      <c r="W94" s="63"/>
      <c r="X94" s="63"/>
      <c r="Y94" s="63"/>
      <c r="Z94" s="63"/>
      <c r="AA94" s="9"/>
      <c r="AB94" s="140"/>
      <c r="AC94" s="140"/>
      <c r="AD94" s="140"/>
      <c r="AE94" s="140"/>
    </row>
    <row r="95" spans="1:31" s="201" customFormat="1" ht="11.25" customHeight="1">
      <c r="A95" s="564"/>
      <c r="B95" s="68"/>
      <c r="C95" s="68"/>
      <c r="K95" s="63"/>
      <c r="L95" s="68"/>
      <c r="M95" s="68"/>
      <c r="N95" s="63"/>
      <c r="O95" s="63"/>
      <c r="P95" s="63"/>
      <c r="Q95" s="63"/>
      <c r="R95" s="68"/>
      <c r="S95" s="63"/>
      <c r="T95" s="63"/>
      <c r="U95" s="307"/>
      <c r="V95" s="63"/>
      <c r="W95" s="63"/>
      <c r="X95" s="63"/>
      <c r="Y95" s="63"/>
      <c r="Z95" s="63"/>
      <c r="AA95" s="9"/>
      <c r="AB95" s="140"/>
      <c r="AC95" s="140"/>
      <c r="AD95" s="140"/>
      <c r="AE95" s="140"/>
    </row>
    <row r="96" spans="1:31" s="201" customFormat="1" ht="11.25" customHeight="1">
      <c r="A96" s="564"/>
      <c r="B96" s="68"/>
      <c r="C96" s="68"/>
      <c r="K96" s="63"/>
      <c r="L96" s="68"/>
      <c r="M96" s="68"/>
      <c r="N96" s="63"/>
      <c r="O96" s="63"/>
      <c r="P96" s="63"/>
      <c r="Q96" s="63"/>
      <c r="R96" s="68"/>
      <c r="S96" s="63"/>
      <c r="T96" s="63"/>
      <c r="U96" s="307"/>
      <c r="V96" s="63"/>
      <c r="W96" s="63"/>
      <c r="X96" s="63"/>
      <c r="Y96" s="63"/>
      <c r="Z96" s="63"/>
      <c r="AA96" s="9"/>
      <c r="AB96" s="140"/>
      <c r="AC96" s="140"/>
      <c r="AD96" s="140"/>
      <c r="AE96" s="140"/>
    </row>
    <row r="97" spans="1:31" s="201" customFormat="1" ht="11.25" customHeight="1">
      <c r="A97" s="564"/>
      <c r="B97" s="68"/>
      <c r="C97" s="68"/>
      <c r="K97" s="63"/>
      <c r="L97" s="68"/>
      <c r="M97" s="68"/>
      <c r="N97" s="63"/>
      <c r="O97" s="63"/>
      <c r="P97" s="63"/>
      <c r="Q97" s="63"/>
      <c r="R97" s="68"/>
      <c r="S97" s="63"/>
      <c r="T97" s="63"/>
      <c r="U97" s="307"/>
      <c r="V97" s="63"/>
      <c r="W97" s="63"/>
      <c r="X97" s="63"/>
      <c r="Y97" s="63"/>
      <c r="Z97" s="63"/>
      <c r="AA97" s="9"/>
      <c r="AB97" s="140"/>
      <c r="AC97" s="140"/>
      <c r="AD97" s="140"/>
      <c r="AE97" s="140"/>
    </row>
    <row r="98" spans="1:31" s="201" customFormat="1" ht="11.25" customHeight="1">
      <c r="A98" s="564"/>
      <c r="B98" s="68"/>
      <c r="C98" s="68"/>
      <c r="K98" s="63"/>
      <c r="L98" s="68"/>
      <c r="M98" s="68"/>
      <c r="N98" s="63"/>
      <c r="O98" s="63"/>
      <c r="P98" s="63"/>
      <c r="Q98" s="63"/>
      <c r="R98" s="68"/>
      <c r="S98" s="63"/>
      <c r="T98" s="63"/>
      <c r="U98" s="307"/>
      <c r="V98" s="63"/>
      <c r="W98" s="63"/>
      <c r="X98" s="63"/>
      <c r="Y98" s="63"/>
      <c r="Z98" s="63"/>
      <c r="AA98" s="9"/>
      <c r="AB98" s="140"/>
      <c r="AC98" s="140"/>
      <c r="AD98" s="140"/>
      <c r="AE98" s="140"/>
    </row>
    <row r="99" spans="1:31" s="201" customFormat="1" ht="11.25" customHeight="1">
      <c r="A99" s="564"/>
      <c r="B99" s="68"/>
      <c r="C99" s="68"/>
      <c r="K99" s="63"/>
      <c r="L99" s="68"/>
      <c r="M99" s="68"/>
      <c r="N99" s="63"/>
      <c r="O99" s="63"/>
      <c r="P99" s="63"/>
      <c r="Q99" s="63"/>
      <c r="R99" s="68"/>
      <c r="S99" s="63"/>
      <c r="T99" s="63"/>
      <c r="U99" s="307"/>
      <c r="V99" s="63"/>
      <c r="W99" s="63"/>
      <c r="X99" s="63"/>
      <c r="Y99" s="63"/>
      <c r="Z99" s="63"/>
      <c r="AA99" s="9"/>
      <c r="AB99" s="140"/>
      <c r="AC99" s="140"/>
      <c r="AD99" s="140"/>
      <c r="AE99" s="140"/>
    </row>
    <row r="100" spans="1:31" s="201" customFormat="1" ht="11.25" customHeight="1">
      <c r="A100" s="564"/>
      <c r="B100" s="68"/>
      <c r="C100" s="68"/>
      <c r="K100" s="63"/>
      <c r="L100" s="68"/>
      <c r="M100" s="68"/>
      <c r="N100" s="63"/>
      <c r="O100" s="63"/>
      <c r="P100" s="63"/>
      <c r="Q100" s="63"/>
      <c r="R100" s="68"/>
      <c r="S100" s="63"/>
      <c r="T100" s="63"/>
      <c r="U100" s="307"/>
      <c r="V100" s="63"/>
      <c r="W100" s="63"/>
      <c r="X100" s="63"/>
      <c r="Y100" s="63"/>
      <c r="Z100" s="63"/>
      <c r="AA100" s="9"/>
      <c r="AB100" s="140"/>
      <c r="AC100" s="140"/>
      <c r="AD100" s="140"/>
      <c r="AE100" s="140"/>
    </row>
    <row r="101" spans="1:31" s="201" customFormat="1" ht="11.25" customHeight="1">
      <c r="A101" s="564"/>
      <c r="B101" s="68"/>
      <c r="C101" s="68"/>
      <c r="K101" s="63"/>
      <c r="L101" s="68"/>
      <c r="M101" s="68"/>
      <c r="N101" s="63"/>
      <c r="O101" s="63"/>
      <c r="P101" s="63"/>
      <c r="Q101" s="63"/>
      <c r="R101" s="68"/>
      <c r="S101" s="63"/>
      <c r="T101" s="63"/>
      <c r="U101" s="307"/>
      <c r="V101" s="63"/>
      <c r="W101" s="63"/>
      <c r="X101" s="63"/>
      <c r="Y101" s="63"/>
      <c r="Z101" s="63"/>
      <c r="AA101" s="9"/>
      <c r="AB101" s="140"/>
      <c r="AC101" s="140"/>
      <c r="AD101" s="140"/>
      <c r="AE101" s="140"/>
    </row>
    <row r="102" spans="1:31" s="201" customFormat="1" ht="11.25" customHeight="1">
      <c r="A102" s="564"/>
      <c r="B102" s="68"/>
      <c r="C102" s="68"/>
      <c r="K102" s="63"/>
      <c r="L102" s="68"/>
      <c r="M102" s="68"/>
      <c r="N102" s="63"/>
      <c r="O102" s="63"/>
      <c r="P102" s="63"/>
      <c r="Q102" s="63"/>
      <c r="R102" s="68"/>
      <c r="S102" s="63"/>
      <c r="T102" s="63"/>
      <c r="U102" s="307"/>
      <c r="V102" s="63"/>
      <c r="W102" s="63"/>
      <c r="X102" s="63"/>
      <c r="Y102" s="63"/>
      <c r="Z102" s="63"/>
      <c r="AA102" s="9"/>
      <c r="AB102" s="140"/>
      <c r="AC102" s="140"/>
      <c r="AD102" s="140"/>
      <c r="AE102" s="140"/>
    </row>
    <row r="103" spans="1:31" s="201" customFormat="1" ht="11.25" customHeight="1">
      <c r="A103" s="564"/>
      <c r="B103" s="68"/>
      <c r="C103" s="68"/>
      <c r="K103" s="63"/>
      <c r="L103" s="68"/>
      <c r="M103" s="68"/>
      <c r="N103" s="63"/>
      <c r="O103" s="63"/>
      <c r="P103" s="63"/>
      <c r="Q103" s="63"/>
      <c r="R103" s="68"/>
      <c r="S103" s="63"/>
      <c r="T103" s="63"/>
      <c r="U103" s="307"/>
      <c r="V103" s="63"/>
      <c r="W103" s="63"/>
      <c r="X103" s="63"/>
      <c r="Y103" s="63"/>
      <c r="Z103" s="63"/>
      <c r="AA103" s="9"/>
      <c r="AB103" s="140"/>
      <c r="AC103" s="140"/>
      <c r="AD103" s="140"/>
      <c r="AE103" s="140"/>
    </row>
    <row r="104" spans="1:31" s="201" customFormat="1" ht="11.25" customHeight="1">
      <c r="A104" s="564"/>
      <c r="B104" s="68"/>
      <c r="C104" s="68"/>
      <c r="K104" s="63"/>
      <c r="L104" s="68"/>
      <c r="M104" s="68"/>
      <c r="N104" s="63"/>
      <c r="O104" s="63"/>
      <c r="P104" s="63"/>
      <c r="Q104" s="63"/>
      <c r="R104" s="68"/>
      <c r="S104" s="63"/>
      <c r="T104" s="63"/>
      <c r="U104" s="307"/>
      <c r="V104" s="63"/>
      <c r="W104" s="63"/>
      <c r="X104" s="63"/>
      <c r="Y104" s="63"/>
      <c r="Z104" s="63"/>
      <c r="AA104" s="9"/>
      <c r="AB104" s="140"/>
      <c r="AC104" s="140"/>
      <c r="AD104" s="140"/>
      <c r="AE104" s="140"/>
    </row>
    <row r="105" spans="1:31" s="201" customFormat="1" ht="11.25" customHeight="1">
      <c r="A105" s="564"/>
      <c r="B105" s="68"/>
      <c r="C105" s="68"/>
      <c r="K105" s="63"/>
      <c r="L105" s="68"/>
      <c r="M105" s="68"/>
      <c r="N105" s="63"/>
      <c r="O105" s="63"/>
      <c r="P105" s="63"/>
      <c r="Q105" s="63"/>
      <c r="R105" s="68"/>
      <c r="S105" s="63"/>
      <c r="T105" s="63"/>
      <c r="U105" s="307"/>
      <c r="V105" s="63"/>
      <c r="W105" s="63"/>
      <c r="X105" s="63"/>
      <c r="Y105" s="63"/>
      <c r="Z105" s="63"/>
      <c r="AA105" s="9"/>
      <c r="AB105" s="140"/>
      <c r="AC105" s="140"/>
      <c r="AD105" s="140"/>
      <c r="AE105" s="140"/>
    </row>
    <row r="106" spans="1:31" s="201" customFormat="1" ht="11.25" customHeight="1">
      <c r="A106" s="564"/>
      <c r="B106" s="68"/>
      <c r="C106" s="68"/>
      <c r="K106" s="63"/>
      <c r="L106" s="68"/>
      <c r="M106" s="68"/>
      <c r="N106" s="63"/>
      <c r="O106" s="63"/>
      <c r="P106" s="63"/>
      <c r="Q106" s="63"/>
      <c r="R106" s="68"/>
      <c r="S106" s="63"/>
      <c r="T106" s="63"/>
      <c r="U106" s="307"/>
      <c r="V106" s="63"/>
      <c r="W106" s="63"/>
      <c r="X106" s="63"/>
      <c r="Y106" s="63"/>
      <c r="Z106" s="63"/>
      <c r="AA106" s="9"/>
      <c r="AB106" s="140"/>
      <c r="AC106" s="140"/>
      <c r="AD106" s="140"/>
      <c r="AE106" s="140"/>
    </row>
    <row r="107" spans="1:31" s="201" customFormat="1" ht="11.25" customHeight="1">
      <c r="A107" s="564"/>
      <c r="B107" s="68"/>
      <c r="C107" s="68"/>
      <c r="K107" s="63"/>
      <c r="L107" s="68"/>
      <c r="M107" s="68"/>
      <c r="N107" s="63"/>
      <c r="O107" s="63"/>
      <c r="P107" s="63"/>
      <c r="Q107" s="63"/>
      <c r="R107" s="68"/>
      <c r="S107" s="63"/>
      <c r="T107" s="63"/>
      <c r="U107" s="307"/>
      <c r="V107" s="63"/>
      <c r="W107" s="63"/>
      <c r="X107" s="63"/>
      <c r="Y107" s="63"/>
      <c r="Z107" s="63"/>
      <c r="AA107" s="9"/>
      <c r="AB107" s="140"/>
      <c r="AC107" s="140"/>
      <c r="AD107" s="140"/>
      <c r="AE107" s="140"/>
    </row>
    <row r="108" spans="1:31" s="201" customFormat="1" ht="11.25" customHeight="1">
      <c r="A108" s="564"/>
      <c r="B108" s="68"/>
      <c r="C108" s="68"/>
      <c r="K108" s="63"/>
      <c r="L108" s="68"/>
      <c r="M108" s="68"/>
      <c r="N108" s="63"/>
      <c r="O108" s="63"/>
      <c r="P108" s="63"/>
      <c r="Q108" s="63"/>
      <c r="R108" s="68"/>
      <c r="S108" s="63"/>
      <c r="T108" s="63"/>
      <c r="U108" s="307"/>
      <c r="V108" s="63"/>
      <c r="W108" s="63"/>
      <c r="X108" s="63"/>
      <c r="Y108" s="63"/>
      <c r="Z108" s="63"/>
      <c r="AA108" s="9"/>
      <c r="AB108" s="140"/>
      <c r="AC108" s="140"/>
      <c r="AD108" s="140"/>
      <c r="AE108" s="140"/>
    </row>
    <row r="109" spans="1:31" s="201" customFormat="1" ht="11.25" customHeight="1">
      <c r="A109" s="564"/>
      <c r="B109" s="68"/>
      <c r="C109" s="68"/>
      <c r="K109" s="63"/>
      <c r="L109" s="68"/>
      <c r="M109" s="68"/>
      <c r="N109" s="63"/>
      <c r="O109" s="63"/>
      <c r="P109" s="63"/>
      <c r="Q109" s="63"/>
      <c r="R109" s="68"/>
      <c r="S109" s="63"/>
      <c r="T109" s="63"/>
      <c r="U109" s="307"/>
      <c r="V109" s="63"/>
      <c r="W109" s="63"/>
      <c r="X109" s="63"/>
      <c r="Y109" s="63"/>
      <c r="Z109" s="63"/>
      <c r="AA109" s="9"/>
      <c r="AB109" s="140"/>
      <c r="AC109" s="140"/>
      <c r="AD109" s="140"/>
      <c r="AE109" s="140"/>
    </row>
    <row r="110" spans="1:31" s="201" customFormat="1" ht="11.25" customHeight="1">
      <c r="A110" s="564"/>
      <c r="B110" s="68"/>
      <c r="C110" s="68"/>
      <c r="K110" s="63"/>
      <c r="L110" s="68"/>
      <c r="M110" s="68"/>
      <c r="N110" s="63"/>
      <c r="O110" s="63"/>
      <c r="P110" s="63"/>
      <c r="Q110" s="63"/>
      <c r="R110" s="68"/>
      <c r="S110" s="63"/>
      <c r="T110" s="63"/>
      <c r="U110" s="307"/>
      <c r="V110" s="63"/>
      <c r="W110" s="63"/>
      <c r="X110" s="63"/>
      <c r="Y110" s="63"/>
      <c r="Z110" s="63"/>
      <c r="AA110" s="9"/>
      <c r="AB110" s="140"/>
      <c r="AC110" s="140"/>
      <c r="AD110" s="140"/>
      <c r="AE110" s="140"/>
    </row>
    <row r="111" spans="1:31" s="201" customFormat="1" ht="11.25" customHeight="1">
      <c r="A111" s="564"/>
      <c r="B111" s="68"/>
      <c r="C111" s="68"/>
      <c r="K111" s="63"/>
      <c r="L111" s="68"/>
      <c r="M111" s="68"/>
      <c r="N111" s="63"/>
      <c r="O111" s="63"/>
      <c r="P111" s="63"/>
      <c r="Q111" s="63"/>
      <c r="R111" s="68"/>
      <c r="S111" s="63"/>
      <c r="T111" s="63"/>
      <c r="U111" s="307"/>
      <c r="V111" s="63"/>
      <c r="W111" s="63"/>
      <c r="X111" s="63"/>
      <c r="Y111" s="63"/>
      <c r="Z111" s="63"/>
      <c r="AA111" s="9"/>
      <c r="AB111" s="140"/>
      <c r="AC111" s="140"/>
      <c r="AD111" s="140"/>
      <c r="AE111" s="140"/>
    </row>
    <row r="112" spans="1:31" s="201" customFormat="1" ht="11.25" customHeight="1">
      <c r="A112" s="564"/>
      <c r="B112" s="68"/>
      <c r="C112" s="68"/>
      <c r="K112" s="63"/>
      <c r="L112" s="68"/>
      <c r="M112" s="68"/>
      <c r="N112" s="63"/>
      <c r="O112" s="63"/>
      <c r="P112" s="63"/>
      <c r="Q112" s="63"/>
      <c r="R112" s="68"/>
      <c r="S112" s="63"/>
      <c r="T112" s="63"/>
      <c r="U112" s="307"/>
      <c r="V112" s="63"/>
      <c r="W112" s="63"/>
      <c r="X112" s="63"/>
      <c r="Y112" s="63"/>
      <c r="Z112" s="63"/>
      <c r="AA112" s="9"/>
      <c r="AB112" s="140"/>
      <c r="AC112" s="140"/>
      <c r="AD112" s="140"/>
      <c r="AE112" s="140"/>
    </row>
    <row r="113" spans="1:31" s="201" customFormat="1" ht="11.25" customHeight="1">
      <c r="A113" s="564"/>
      <c r="B113" s="68"/>
      <c r="C113" s="68"/>
      <c r="K113" s="63"/>
      <c r="L113" s="68"/>
      <c r="M113" s="68"/>
      <c r="N113" s="63"/>
      <c r="O113" s="63"/>
      <c r="P113" s="63"/>
      <c r="Q113" s="63"/>
      <c r="R113" s="68"/>
      <c r="S113" s="63"/>
      <c r="T113" s="63"/>
      <c r="U113" s="307"/>
      <c r="V113" s="63"/>
      <c r="W113" s="63"/>
      <c r="X113" s="63"/>
      <c r="Y113" s="63"/>
      <c r="Z113" s="63"/>
      <c r="AA113" s="9"/>
      <c r="AB113" s="140"/>
      <c r="AC113" s="140"/>
      <c r="AD113" s="140"/>
      <c r="AE113" s="140"/>
    </row>
    <row r="114" spans="1:31" s="201" customFormat="1" ht="11.25" customHeight="1">
      <c r="A114" s="564"/>
      <c r="B114" s="68"/>
      <c r="C114" s="68"/>
      <c r="K114" s="63"/>
      <c r="L114" s="68"/>
      <c r="M114" s="68"/>
      <c r="N114" s="63"/>
      <c r="O114" s="63"/>
      <c r="P114" s="63"/>
      <c r="Q114" s="63"/>
      <c r="R114" s="68"/>
      <c r="S114" s="63"/>
      <c r="T114" s="63"/>
      <c r="U114" s="307"/>
      <c r="V114" s="63"/>
      <c r="W114" s="63"/>
      <c r="X114" s="63"/>
      <c r="Y114" s="63"/>
      <c r="Z114" s="63"/>
      <c r="AA114" s="9"/>
      <c r="AB114" s="140"/>
      <c r="AC114" s="140"/>
      <c r="AD114" s="140"/>
      <c r="AE114" s="140"/>
    </row>
    <row r="115" spans="1:31" s="201" customFormat="1" ht="11.25" customHeight="1">
      <c r="A115" s="564"/>
      <c r="B115" s="68"/>
      <c r="C115" s="68"/>
      <c r="K115" s="63"/>
      <c r="L115" s="68"/>
      <c r="M115" s="68"/>
      <c r="N115" s="63"/>
      <c r="O115" s="63"/>
      <c r="P115" s="63"/>
      <c r="Q115" s="63"/>
      <c r="R115" s="68"/>
      <c r="S115" s="63"/>
      <c r="T115" s="63"/>
      <c r="U115" s="307"/>
      <c r="V115" s="63"/>
      <c r="W115" s="63"/>
      <c r="X115" s="63"/>
      <c r="Y115" s="63"/>
      <c r="Z115" s="63"/>
      <c r="AA115" s="9"/>
      <c r="AB115" s="140"/>
      <c r="AC115" s="140"/>
      <c r="AD115" s="140"/>
      <c r="AE115" s="140"/>
    </row>
    <row r="116" spans="1:31" s="201" customFormat="1" ht="11.25" customHeight="1">
      <c r="A116" s="564"/>
      <c r="B116" s="68"/>
      <c r="C116" s="68"/>
      <c r="K116" s="63"/>
      <c r="L116" s="68"/>
      <c r="M116" s="68"/>
      <c r="N116" s="63"/>
      <c r="O116" s="63"/>
      <c r="P116" s="63"/>
      <c r="Q116" s="63"/>
      <c r="R116" s="68"/>
      <c r="S116" s="63"/>
      <c r="T116" s="63"/>
      <c r="U116" s="307"/>
      <c r="V116" s="63"/>
      <c r="W116" s="63"/>
      <c r="X116" s="63"/>
      <c r="Y116" s="63"/>
      <c r="Z116" s="63"/>
      <c r="AA116" s="9"/>
      <c r="AB116" s="140"/>
      <c r="AC116" s="140"/>
      <c r="AD116" s="140"/>
      <c r="AE116" s="140"/>
    </row>
    <row r="117" spans="1:31" s="201" customFormat="1" ht="11.25" customHeight="1">
      <c r="A117" s="564"/>
      <c r="B117" s="68"/>
      <c r="C117" s="68"/>
      <c r="K117" s="63"/>
      <c r="L117" s="68"/>
      <c r="M117" s="68"/>
      <c r="N117" s="63"/>
      <c r="O117" s="63"/>
      <c r="P117" s="63"/>
      <c r="Q117" s="63"/>
      <c r="R117" s="68"/>
      <c r="S117" s="63"/>
      <c r="T117" s="63"/>
      <c r="U117" s="307"/>
      <c r="V117" s="63"/>
      <c r="W117" s="63"/>
      <c r="X117" s="63"/>
      <c r="Y117" s="63"/>
      <c r="Z117" s="63"/>
      <c r="AA117" s="9"/>
      <c r="AB117" s="140"/>
      <c r="AC117" s="140"/>
      <c r="AD117" s="140"/>
      <c r="AE117" s="140"/>
    </row>
    <row r="118" spans="1:31" s="201" customFormat="1" ht="11.25" customHeight="1">
      <c r="A118" s="564"/>
      <c r="B118" s="68"/>
      <c r="C118" s="68"/>
      <c r="K118" s="63"/>
      <c r="L118" s="68"/>
      <c r="M118" s="68"/>
      <c r="N118" s="63"/>
      <c r="O118" s="63"/>
      <c r="P118" s="63"/>
      <c r="Q118" s="63"/>
      <c r="R118" s="68"/>
      <c r="S118" s="63"/>
      <c r="T118" s="63"/>
      <c r="U118" s="307"/>
      <c r="V118" s="63"/>
      <c r="W118" s="63"/>
      <c r="X118" s="63"/>
      <c r="Y118" s="63"/>
      <c r="Z118" s="63"/>
      <c r="AA118" s="9"/>
      <c r="AB118" s="140"/>
      <c r="AC118" s="140"/>
      <c r="AD118" s="140"/>
      <c r="AE118" s="140"/>
    </row>
    <row r="119" spans="1:31" s="201" customFormat="1" ht="11.25" customHeight="1">
      <c r="A119" s="564"/>
      <c r="B119" s="68"/>
      <c r="C119" s="68"/>
      <c r="K119" s="63"/>
      <c r="L119" s="68"/>
      <c r="M119" s="68"/>
      <c r="N119" s="63"/>
      <c r="O119" s="63"/>
      <c r="P119" s="63"/>
      <c r="Q119" s="63"/>
      <c r="R119" s="68"/>
      <c r="S119" s="63"/>
      <c r="T119" s="63"/>
      <c r="U119" s="307"/>
      <c r="V119" s="63"/>
      <c r="W119" s="63"/>
      <c r="X119" s="63"/>
      <c r="Y119" s="63"/>
      <c r="Z119" s="63"/>
      <c r="AA119" s="9"/>
      <c r="AB119" s="140"/>
      <c r="AC119" s="140"/>
      <c r="AD119" s="140"/>
      <c r="AE119" s="140"/>
    </row>
    <row r="120" spans="1:31" s="201" customFormat="1" ht="11.25" customHeight="1">
      <c r="A120" s="564"/>
      <c r="B120" s="68"/>
      <c r="C120" s="68"/>
      <c r="K120" s="63"/>
      <c r="L120" s="68"/>
      <c r="M120" s="68"/>
      <c r="N120" s="63"/>
      <c r="O120" s="63"/>
      <c r="P120" s="63"/>
      <c r="Q120" s="63"/>
      <c r="R120" s="68"/>
      <c r="S120" s="63"/>
      <c r="T120" s="63"/>
      <c r="U120" s="307"/>
      <c r="V120" s="63"/>
      <c r="W120" s="63"/>
      <c r="X120" s="63"/>
      <c r="Y120" s="63"/>
      <c r="Z120" s="63"/>
      <c r="AA120" s="9"/>
      <c r="AB120" s="140"/>
      <c r="AC120" s="140"/>
      <c r="AD120" s="140"/>
      <c r="AE120" s="140"/>
    </row>
    <row r="121" spans="1:31" s="201" customFormat="1" ht="11.25" customHeight="1">
      <c r="A121" s="564"/>
      <c r="B121" s="68"/>
      <c r="C121" s="68"/>
      <c r="K121" s="63"/>
      <c r="L121" s="68"/>
      <c r="M121" s="68"/>
      <c r="N121" s="63"/>
      <c r="O121" s="63"/>
      <c r="P121" s="63"/>
      <c r="Q121" s="63"/>
      <c r="R121" s="68"/>
      <c r="S121" s="63"/>
      <c r="T121" s="63"/>
      <c r="U121" s="307"/>
      <c r="V121" s="63"/>
      <c r="W121" s="63"/>
      <c r="X121" s="63"/>
      <c r="Y121" s="63"/>
      <c r="Z121" s="63"/>
      <c r="AA121" s="9"/>
      <c r="AB121" s="140"/>
      <c r="AC121" s="140"/>
      <c r="AD121" s="140"/>
      <c r="AE121" s="140"/>
    </row>
    <row r="122" spans="1:31" s="201" customFormat="1" ht="11.25" customHeight="1">
      <c r="A122" s="564"/>
      <c r="B122" s="68"/>
      <c r="C122" s="68"/>
      <c r="K122" s="63"/>
      <c r="L122" s="68"/>
      <c r="M122" s="68"/>
      <c r="N122" s="63"/>
      <c r="O122" s="63"/>
      <c r="P122" s="63"/>
      <c r="Q122" s="63"/>
      <c r="R122" s="68"/>
      <c r="S122" s="63"/>
      <c r="T122" s="63"/>
      <c r="U122" s="307"/>
      <c r="V122" s="63"/>
      <c r="W122" s="63"/>
      <c r="X122" s="63"/>
      <c r="Y122" s="63"/>
      <c r="Z122" s="63"/>
      <c r="AA122" s="9"/>
      <c r="AB122" s="140"/>
      <c r="AC122" s="140"/>
      <c r="AD122" s="140"/>
      <c r="AE122" s="140"/>
    </row>
    <row r="123" spans="1:31" s="201" customFormat="1" ht="11.25" customHeight="1">
      <c r="A123" s="564"/>
      <c r="B123" s="68"/>
      <c r="C123" s="68"/>
      <c r="K123" s="63"/>
      <c r="L123" s="68"/>
      <c r="M123" s="68"/>
      <c r="N123" s="63"/>
      <c r="O123" s="63"/>
      <c r="P123" s="63"/>
      <c r="Q123" s="63"/>
      <c r="R123" s="68"/>
      <c r="S123" s="63"/>
      <c r="T123" s="63"/>
      <c r="U123" s="307"/>
      <c r="V123" s="63"/>
      <c r="W123" s="63"/>
      <c r="X123" s="63"/>
      <c r="Y123" s="63"/>
      <c r="Z123" s="63"/>
      <c r="AA123" s="9"/>
      <c r="AB123" s="140"/>
      <c r="AC123" s="140"/>
      <c r="AD123" s="140"/>
      <c r="AE123" s="140"/>
    </row>
    <row r="124" spans="1:31" s="201" customFormat="1" ht="11.25" customHeight="1">
      <c r="A124" s="564"/>
      <c r="B124" s="68"/>
      <c r="C124" s="68"/>
      <c r="K124" s="63"/>
      <c r="L124" s="68"/>
      <c r="M124" s="68"/>
      <c r="N124" s="63"/>
      <c r="O124" s="63"/>
      <c r="P124" s="63"/>
      <c r="Q124" s="63"/>
      <c r="R124" s="68"/>
      <c r="S124" s="63"/>
      <c r="T124" s="63"/>
      <c r="U124" s="307"/>
      <c r="V124" s="63"/>
      <c r="W124" s="63"/>
      <c r="X124" s="63"/>
      <c r="Y124" s="63"/>
      <c r="Z124" s="63"/>
      <c r="AA124" s="9"/>
      <c r="AB124" s="140"/>
      <c r="AC124" s="140"/>
      <c r="AD124" s="140"/>
      <c r="AE124" s="140"/>
    </row>
    <row r="125" spans="1:31" s="201" customFormat="1" ht="11.25" customHeight="1">
      <c r="A125" s="564"/>
      <c r="B125" s="68"/>
      <c r="C125" s="68"/>
      <c r="K125" s="63"/>
      <c r="L125" s="68"/>
      <c r="M125" s="68"/>
      <c r="N125" s="63"/>
      <c r="O125" s="63"/>
      <c r="P125" s="63"/>
      <c r="Q125" s="63"/>
      <c r="R125" s="68"/>
      <c r="S125" s="63"/>
      <c r="T125" s="63"/>
      <c r="U125" s="307"/>
      <c r="V125" s="63"/>
      <c r="W125" s="63"/>
      <c r="X125" s="63"/>
      <c r="Y125" s="63"/>
      <c r="Z125" s="63"/>
      <c r="AA125" s="9"/>
      <c r="AB125" s="140"/>
      <c r="AC125" s="140"/>
      <c r="AD125" s="140"/>
      <c r="AE125" s="140"/>
    </row>
    <row r="126" spans="1:31" s="201" customFormat="1" ht="11.25" customHeight="1">
      <c r="A126" s="564"/>
      <c r="B126" s="68"/>
      <c r="C126" s="68"/>
      <c r="K126" s="63"/>
      <c r="L126" s="68"/>
      <c r="M126" s="68"/>
      <c r="N126" s="63"/>
      <c r="O126" s="63"/>
      <c r="P126" s="63"/>
      <c r="Q126" s="63"/>
      <c r="R126" s="68"/>
      <c r="S126" s="63"/>
      <c r="T126" s="63"/>
      <c r="U126" s="307"/>
      <c r="V126" s="63"/>
      <c r="W126" s="63"/>
      <c r="X126" s="63"/>
      <c r="Y126" s="63"/>
      <c r="Z126" s="63"/>
      <c r="AA126" s="9"/>
      <c r="AB126" s="140"/>
      <c r="AC126" s="140"/>
      <c r="AD126" s="140"/>
      <c r="AE126" s="140"/>
    </row>
    <row r="127" spans="1:31" s="201" customFormat="1" ht="11.25" customHeight="1">
      <c r="A127" s="564"/>
      <c r="B127" s="68"/>
      <c r="C127" s="68"/>
      <c r="K127" s="63"/>
      <c r="L127" s="68"/>
      <c r="M127" s="68"/>
      <c r="N127" s="63"/>
      <c r="O127" s="63"/>
      <c r="P127" s="63"/>
      <c r="Q127" s="63"/>
      <c r="R127" s="68"/>
      <c r="S127" s="63"/>
      <c r="T127" s="63"/>
      <c r="U127" s="307"/>
      <c r="V127" s="63"/>
      <c r="W127" s="63"/>
      <c r="X127" s="63"/>
      <c r="Y127" s="63"/>
      <c r="Z127" s="63"/>
      <c r="AA127" s="9"/>
      <c r="AB127" s="140"/>
      <c r="AC127" s="140"/>
      <c r="AD127" s="140"/>
      <c r="AE127" s="140"/>
    </row>
    <row r="128" spans="1:31" s="201" customFormat="1" ht="11.25" customHeight="1">
      <c r="A128" s="564"/>
      <c r="B128" s="68"/>
      <c r="C128" s="68"/>
      <c r="K128" s="63"/>
      <c r="L128" s="68"/>
      <c r="M128" s="68"/>
      <c r="N128" s="63"/>
      <c r="O128" s="63"/>
      <c r="P128" s="63"/>
      <c r="Q128" s="63"/>
      <c r="R128" s="68"/>
      <c r="S128" s="63"/>
      <c r="T128" s="63"/>
      <c r="U128" s="307"/>
      <c r="V128" s="63"/>
      <c r="W128" s="63"/>
      <c r="X128" s="63"/>
      <c r="Y128" s="63"/>
      <c r="Z128" s="63"/>
      <c r="AA128" s="9"/>
      <c r="AB128" s="140"/>
      <c r="AC128" s="140"/>
      <c r="AD128" s="140"/>
      <c r="AE128" s="140"/>
    </row>
    <row r="129" spans="1:31" s="201" customFormat="1" ht="11.25" customHeight="1">
      <c r="A129" s="564"/>
      <c r="B129" s="68"/>
      <c r="C129" s="68"/>
      <c r="K129" s="63"/>
      <c r="L129" s="68"/>
      <c r="M129" s="68"/>
      <c r="N129" s="63"/>
      <c r="O129" s="63"/>
      <c r="P129" s="63"/>
      <c r="Q129" s="63"/>
      <c r="R129" s="68"/>
      <c r="S129" s="63"/>
      <c r="T129" s="63"/>
      <c r="U129" s="307"/>
      <c r="V129" s="63"/>
      <c r="W129" s="63"/>
      <c r="X129" s="63"/>
      <c r="Y129" s="63"/>
      <c r="Z129" s="63"/>
      <c r="AA129" s="9"/>
      <c r="AB129" s="140"/>
      <c r="AC129" s="140"/>
      <c r="AD129" s="140"/>
      <c r="AE129" s="140"/>
    </row>
    <row r="130" spans="1:31" s="201" customFormat="1" ht="11.25" customHeight="1">
      <c r="A130" s="564"/>
      <c r="B130" s="68"/>
      <c r="C130" s="68"/>
      <c r="K130" s="63"/>
      <c r="L130" s="68"/>
      <c r="M130" s="68"/>
      <c r="N130" s="63"/>
      <c r="O130" s="63"/>
      <c r="P130" s="63"/>
      <c r="Q130" s="63"/>
      <c r="R130" s="68"/>
      <c r="S130" s="63"/>
      <c r="T130" s="63"/>
      <c r="U130" s="307"/>
      <c r="V130" s="63"/>
      <c r="W130" s="63"/>
      <c r="X130" s="63"/>
      <c r="Y130" s="63"/>
      <c r="Z130" s="63"/>
      <c r="AA130" s="9"/>
      <c r="AB130" s="140"/>
      <c r="AC130" s="140"/>
      <c r="AD130" s="140"/>
      <c r="AE130" s="140"/>
    </row>
    <row r="131" spans="1:31" s="201" customFormat="1" ht="11.25" customHeight="1">
      <c r="A131" s="564"/>
      <c r="B131" s="68"/>
      <c r="C131" s="68"/>
      <c r="K131" s="63"/>
      <c r="L131" s="68"/>
      <c r="M131" s="68"/>
      <c r="N131" s="63"/>
      <c r="O131" s="63"/>
      <c r="P131" s="63"/>
      <c r="Q131" s="63"/>
      <c r="R131" s="68"/>
      <c r="S131" s="63"/>
      <c r="T131" s="63"/>
      <c r="U131" s="307"/>
      <c r="V131" s="63"/>
      <c r="W131" s="63"/>
      <c r="X131" s="63"/>
      <c r="Y131" s="63"/>
      <c r="Z131" s="63"/>
      <c r="AA131" s="9"/>
      <c r="AB131" s="140"/>
      <c r="AC131" s="140"/>
      <c r="AD131" s="140"/>
      <c r="AE131" s="140"/>
    </row>
    <row r="132" spans="1:31" s="201" customFormat="1" ht="11.25" customHeight="1">
      <c r="A132" s="564"/>
      <c r="B132" s="68"/>
      <c r="C132" s="68"/>
      <c r="K132" s="63"/>
      <c r="L132" s="68"/>
      <c r="M132" s="68"/>
      <c r="N132" s="63"/>
      <c r="O132" s="63"/>
      <c r="P132" s="63"/>
      <c r="Q132" s="63"/>
      <c r="R132" s="68"/>
      <c r="S132" s="63"/>
      <c r="T132" s="63"/>
      <c r="U132" s="307"/>
      <c r="V132" s="63"/>
      <c r="W132" s="63"/>
      <c r="X132" s="63"/>
      <c r="Y132" s="63"/>
      <c r="Z132" s="63"/>
      <c r="AA132" s="9"/>
      <c r="AB132" s="140"/>
      <c r="AC132" s="140"/>
      <c r="AD132" s="140"/>
      <c r="AE132" s="140"/>
    </row>
    <row r="133" spans="1:31" s="201" customFormat="1" ht="11.25" customHeight="1">
      <c r="A133" s="564"/>
      <c r="B133" s="68"/>
      <c r="C133" s="68"/>
      <c r="K133" s="63"/>
      <c r="L133" s="68"/>
      <c r="M133" s="68"/>
      <c r="N133" s="63"/>
      <c r="O133" s="63"/>
      <c r="P133" s="63"/>
      <c r="Q133" s="63"/>
      <c r="R133" s="68"/>
      <c r="S133" s="63"/>
      <c r="T133" s="63"/>
      <c r="U133" s="307"/>
      <c r="V133" s="63"/>
      <c r="W133" s="63"/>
      <c r="X133" s="63"/>
      <c r="Y133" s="63"/>
      <c r="Z133" s="63"/>
      <c r="AA133" s="9"/>
      <c r="AB133" s="140"/>
      <c r="AC133" s="140"/>
      <c r="AD133" s="140"/>
      <c r="AE133" s="140"/>
    </row>
    <row r="134" spans="1:31" s="201" customFormat="1" ht="11.25" customHeight="1">
      <c r="A134" s="564"/>
      <c r="B134" s="68"/>
      <c r="C134" s="68"/>
      <c r="K134" s="63"/>
      <c r="L134" s="68"/>
      <c r="M134" s="68"/>
      <c r="N134" s="63"/>
      <c r="O134" s="63"/>
      <c r="P134" s="63"/>
      <c r="Q134" s="63"/>
      <c r="R134" s="68"/>
      <c r="S134" s="63"/>
      <c r="T134" s="63"/>
      <c r="U134" s="307"/>
      <c r="V134" s="63"/>
      <c r="W134" s="63"/>
      <c r="X134" s="63"/>
      <c r="Y134" s="63"/>
      <c r="Z134" s="63"/>
      <c r="AA134" s="9"/>
      <c r="AB134" s="140"/>
      <c r="AC134" s="140"/>
      <c r="AD134" s="140"/>
      <c r="AE134" s="140"/>
    </row>
    <row r="135" spans="1:31" s="201" customFormat="1" ht="11.25" customHeight="1">
      <c r="A135" s="564"/>
      <c r="B135" s="68"/>
      <c r="C135" s="68"/>
      <c r="K135" s="63"/>
      <c r="L135" s="68"/>
      <c r="M135" s="68"/>
      <c r="N135" s="63"/>
      <c r="O135" s="63"/>
      <c r="P135" s="63"/>
      <c r="Q135" s="63"/>
      <c r="R135" s="68"/>
      <c r="S135" s="63"/>
      <c r="T135" s="63"/>
      <c r="U135" s="307"/>
      <c r="V135" s="63"/>
      <c r="W135" s="63"/>
      <c r="X135" s="63"/>
      <c r="Y135" s="63"/>
      <c r="Z135" s="63"/>
      <c r="AA135" s="9"/>
      <c r="AB135" s="140"/>
      <c r="AC135" s="140"/>
      <c r="AD135" s="140"/>
      <c r="AE135" s="140"/>
    </row>
    <row r="136" spans="1:31" s="201" customFormat="1" ht="11.25" customHeight="1">
      <c r="A136" s="564"/>
      <c r="B136" s="68"/>
      <c r="C136" s="68"/>
      <c r="K136" s="63"/>
      <c r="L136" s="68"/>
      <c r="M136" s="68"/>
      <c r="N136" s="63"/>
      <c r="O136" s="63"/>
      <c r="P136" s="63"/>
      <c r="Q136" s="63"/>
      <c r="R136" s="68"/>
      <c r="S136" s="63"/>
      <c r="T136" s="63"/>
      <c r="U136" s="307"/>
      <c r="V136" s="63"/>
      <c r="W136" s="63"/>
      <c r="X136" s="63"/>
      <c r="Y136" s="63"/>
      <c r="Z136" s="63"/>
      <c r="AA136" s="9"/>
      <c r="AB136" s="140"/>
      <c r="AC136" s="140"/>
      <c r="AD136" s="140"/>
      <c r="AE136" s="140"/>
    </row>
    <row r="137" spans="1:31" s="201" customFormat="1" ht="11.25" customHeight="1">
      <c r="A137" s="564"/>
      <c r="B137" s="68"/>
      <c r="C137" s="68"/>
      <c r="K137" s="63"/>
      <c r="L137" s="68"/>
      <c r="M137" s="68"/>
      <c r="N137" s="63"/>
      <c r="O137" s="63"/>
      <c r="P137" s="63"/>
      <c r="Q137" s="63"/>
      <c r="R137" s="68"/>
      <c r="S137" s="63"/>
      <c r="T137" s="63"/>
      <c r="U137" s="307"/>
      <c r="V137" s="63"/>
      <c r="W137" s="63"/>
      <c r="X137" s="63"/>
      <c r="Y137" s="63"/>
      <c r="Z137" s="63"/>
      <c r="AA137" s="9"/>
      <c r="AB137" s="140"/>
      <c r="AC137" s="140"/>
      <c r="AD137" s="140"/>
      <c r="AE137" s="140"/>
    </row>
    <row r="138" spans="1:31" s="201" customFormat="1" ht="11.25" customHeight="1">
      <c r="A138" s="564"/>
      <c r="B138" s="68"/>
      <c r="C138" s="68"/>
      <c r="K138" s="63"/>
      <c r="L138" s="68"/>
      <c r="M138" s="68"/>
      <c r="N138" s="63"/>
      <c r="O138" s="63"/>
      <c r="P138" s="63"/>
      <c r="Q138" s="63"/>
      <c r="R138" s="68"/>
      <c r="S138" s="63"/>
      <c r="T138" s="63"/>
      <c r="U138" s="307"/>
      <c r="V138" s="63"/>
      <c r="W138" s="63"/>
      <c r="X138" s="63"/>
      <c r="Y138" s="63"/>
      <c r="Z138" s="63"/>
      <c r="AA138" s="9"/>
      <c r="AB138" s="140"/>
      <c r="AC138" s="140"/>
      <c r="AD138" s="140"/>
      <c r="AE138" s="140"/>
    </row>
    <row r="139" spans="1:31" s="201" customFormat="1" ht="11.25" customHeight="1">
      <c r="A139" s="564"/>
      <c r="B139" s="68"/>
      <c r="C139" s="68"/>
      <c r="K139" s="63"/>
      <c r="L139" s="68"/>
      <c r="M139" s="68"/>
      <c r="N139" s="63"/>
      <c r="O139" s="63"/>
      <c r="P139" s="63"/>
      <c r="Q139" s="63"/>
      <c r="R139" s="68"/>
      <c r="S139" s="63"/>
      <c r="T139" s="63"/>
      <c r="U139" s="307"/>
      <c r="V139" s="63"/>
      <c r="W139" s="63"/>
      <c r="X139" s="63"/>
      <c r="Y139" s="63"/>
      <c r="Z139" s="63"/>
      <c r="AA139" s="9"/>
      <c r="AB139" s="140"/>
      <c r="AC139" s="140"/>
      <c r="AD139" s="140"/>
      <c r="AE139" s="140"/>
    </row>
    <row r="140" spans="1:31" s="201" customFormat="1" ht="11.25" customHeight="1">
      <c r="A140" s="564"/>
      <c r="B140" s="68"/>
      <c r="C140" s="68"/>
      <c r="K140" s="63"/>
      <c r="L140" s="68"/>
      <c r="M140" s="68"/>
      <c r="N140" s="63"/>
      <c r="O140" s="63"/>
      <c r="P140" s="63"/>
      <c r="Q140" s="63"/>
      <c r="R140" s="68"/>
      <c r="S140" s="63"/>
      <c r="T140" s="63"/>
      <c r="U140" s="307"/>
      <c r="V140" s="63"/>
      <c r="W140" s="63"/>
      <c r="X140" s="63"/>
      <c r="Y140" s="63"/>
      <c r="Z140" s="63"/>
      <c r="AA140" s="9"/>
      <c r="AB140" s="140"/>
      <c r="AC140" s="140"/>
      <c r="AD140" s="140"/>
      <c r="AE140" s="140"/>
    </row>
    <row r="141" spans="1:31" s="201" customFormat="1" ht="11.25" customHeight="1">
      <c r="A141" s="564"/>
      <c r="B141" s="68"/>
      <c r="C141" s="68"/>
      <c r="K141" s="63"/>
      <c r="L141" s="68"/>
      <c r="M141" s="68"/>
      <c r="N141" s="63"/>
      <c r="O141" s="63"/>
      <c r="P141" s="63"/>
      <c r="Q141" s="63"/>
      <c r="R141" s="68"/>
      <c r="S141" s="63"/>
      <c r="T141" s="63"/>
      <c r="U141" s="307"/>
      <c r="V141" s="63"/>
      <c r="W141" s="63"/>
      <c r="X141" s="63"/>
      <c r="Y141" s="63"/>
      <c r="Z141" s="63"/>
      <c r="AA141" s="9"/>
      <c r="AB141" s="140"/>
      <c r="AC141" s="140"/>
      <c r="AD141" s="140"/>
      <c r="AE141" s="140"/>
    </row>
    <row r="142" spans="1:31" s="201" customFormat="1" ht="11.25" customHeight="1">
      <c r="A142" s="564"/>
      <c r="B142" s="68"/>
      <c r="C142" s="68"/>
      <c r="K142" s="63"/>
      <c r="L142" s="68"/>
      <c r="M142" s="68"/>
      <c r="N142" s="63"/>
      <c r="O142" s="63"/>
      <c r="P142" s="63"/>
      <c r="Q142" s="63"/>
      <c r="R142" s="68"/>
      <c r="S142" s="63"/>
      <c r="T142" s="63"/>
      <c r="U142" s="307"/>
      <c r="V142" s="63"/>
      <c r="W142" s="63"/>
      <c r="X142" s="63"/>
      <c r="Y142" s="63"/>
      <c r="Z142" s="63"/>
      <c r="AA142" s="9"/>
      <c r="AB142" s="140"/>
      <c r="AC142" s="140"/>
      <c r="AD142" s="140"/>
      <c r="AE142" s="140"/>
    </row>
    <row r="143" spans="1:31" s="201" customFormat="1" ht="11.25" customHeight="1">
      <c r="A143" s="564"/>
      <c r="B143" s="68"/>
      <c r="C143" s="68"/>
      <c r="K143" s="63"/>
      <c r="L143" s="68"/>
      <c r="M143" s="68"/>
      <c r="N143" s="63"/>
      <c r="O143" s="63"/>
      <c r="P143" s="63"/>
      <c r="Q143" s="63"/>
      <c r="R143" s="68"/>
      <c r="S143" s="63"/>
      <c r="T143" s="63"/>
      <c r="U143" s="307"/>
      <c r="V143" s="63"/>
      <c r="W143" s="63"/>
      <c r="X143" s="63"/>
      <c r="Y143" s="63"/>
      <c r="Z143" s="63"/>
      <c r="AA143" s="9"/>
      <c r="AB143" s="140"/>
      <c r="AC143" s="140"/>
      <c r="AD143" s="140"/>
      <c r="AE143" s="140"/>
    </row>
    <row r="144" spans="1:31" s="201" customFormat="1" ht="11.25" customHeight="1">
      <c r="A144" s="564"/>
      <c r="B144" s="68"/>
      <c r="C144" s="68"/>
      <c r="K144" s="63"/>
      <c r="L144" s="68"/>
      <c r="M144" s="68"/>
      <c r="N144" s="63"/>
      <c r="O144" s="63"/>
      <c r="P144" s="63"/>
      <c r="Q144" s="63"/>
      <c r="R144" s="68"/>
      <c r="S144" s="63"/>
      <c r="T144" s="63"/>
      <c r="U144" s="307"/>
      <c r="V144" s="63"/>
      <c r="W144" s="63"/>
      <c r="X144" s="63"/>
      <c r="Y144" s="63"/>
      <c r="Z144" s="63"/>
      <c r="AA144" s="9"/>
      <c r="AB144" s="140"/>
      <c r="AC144" s="140"/>
      <c r="AD144" s="140"/>
      <c r="AE144" s="140"/>
    </row>
    <row r="145" spans="1:31" s="201" customFormat="1" ht="11.25" customHeight="1">
      <c r="A145" s="564"/>
      <c r="B145" s="68"/>
      <c r="C145" s="68"/>
      <c r="K145" s="63"/>
      <c r="L145" s="68"/>
      <c r="M145" s="68"/>
      <c r="N145" s="63"/>
      <c r="O145" s="63"/>
      <c r="P145" s="63"/>
      <c r="Q145" s="63"/>
      <c r="R145" s="68"/>
      <c r="S145" s="63"/>
      <c r="T145" s="63"/>
      <c r="U145" s="307"/>
      <c r="V145" s="63"/>
      <c r="W145" s="63"/>
      <c r="X145" s="63"/>
      <c r="Y145" s="63"/>
      <c r="Z145" s="63"/>
      <c r="AA145" s="9"/>
      <c r="AB145" s="140"/>
      <c r="AC145" s="140"/>
      <c r="AD145" s="140"/>
      <c r="AE145" s="140"/>
    </row>
    <row r="146" spans="1:31" s="201" customFormat="1" ht="11.25" customHeight="1">
      <c r="A146" s="564"/>
      <c r="B146" s="68"/>
      <c r="C146" s="68"/>
      <c r="K146" s="63"/>
      <c r="L146" s="68"/>
      <c r="M146" s="68"/>
      <c r="N146" s="63"/>
      <c r="O146" s="63"/>
      <c r="P146" s="63"/>
      <c r="Q146" s="63"/>
      <c r="R146" s="68"/>
      <c r="S146" s="63"/>
      <c r="T146" s="63"/>
      <c r="U146" s="307"/>
      <c r="V146" s="63"/>
      <c r="W146" s="63"/>
      <c r="X146" s="63"/>
      <c r="Y146" s="63"/>
      <c r="Z146" s="63"/>
      <c r="AA146" s="9"/>
      <c r="AB146" s="140"/>
      <c r="AC146" s="140"/>
      <c r="AD146" s="140"/>
      <c r="AE146" s="140"/>
    </row>
    <row r="147" spans="1:31" s="201" customFormat="1" ht="11.25" customHeight="1">
      <c r="A147" s="564"/>
      <c r="B147" s="68"/>
      <c r="C147" s="68"/>
      <c r="K147" s="63"/>
      <c r="L147" s="68"/>
      <c r="M147" s="68"/>
      <c r="N147" s="63"/>
      <c r="O147" s="63"/>
      <c r="P147" s="63"/>
      <c r="Q147" s="63"/>
      <c r="R147" s="68"/>
      <c r="S147" s="63"/>
      <c r="T147" s="63"/>
      <c r="U147" s="307"/>
      <c r="V147" s="63"/>
      <c r="W147" s="63"/>
      <c r="X147" s="63"/>
      <c r="Y147" s="63"/>
      <c r="Z147" s="63"/>
      <c r="AA147" s="9"/>
      <c r="AB147" s="140"/>
      <c r="AC147" s="140"/>
      <c r="AD147" s="140"/>
      <c r="AE147" s="140"/>
    </row>
    <row r="148" spans="1:31" s="201" customFormat="1" ht="11.25" customHeight="1">
      <c r="A148" s="564"/>
      <c r="B148" s="68"/>
      <c r="C148" s="68"/>
      <c r="K148" s="63"/>
      <c r="L148" s="68"/>
      <c r="M148" s="68"/>
      <c r="N148" s="63"/>
      <c r="O148" s="63"/>
      <c r="P148" s="63"/>
      <c r="Q148" s="63"/>
      <c r="R148" s="68"/>
      <c r="S148" s="63"/>
      <c r="T148" s="63"/>
      <c r="U148" s="307"/>
      <c r="V148" s="63"/>
      <c r="W148" s="63"/>
      <c r="X148" s="63"/>
      <c r="Y148" s="63"/>
      <c r="Z148" s="63"/>
      <c r="AA148" s="9"/>
      <c r="AB148" s="140"/>
      <c r="AC148" s="140"/>
      <c r="AD148" s="140"/>
      <c r="AE148" s="140"/>
    </row>
    <row r="149" spans="1:31" s="201" customFormat="1" ht="11.25" customHeight="1">
      <c r="A149" s="564"/>
      <c r="B149" s="68"/>
      <c r="C149" s="68"/>
      <c r="K149" s="63"/>
      <c r="L149" s="68"/>
      <c r="M149" s="68"/>
      <c r="N149" s="63"/>
      <c r="O149" s="63"/>
      <c r="P149" s="63"/>
      <c r="Q149" s="63"/>
      <c r="R149" s="68"/>
      <c r="S149" s="63"/>
      <c r="T149" s="63"/>
      <c r="U149" s="307"/>
      <c r="V149" s="63"/>
      <c r="W149" s="63"/>
      <c r="X149" s="63"/>
      <c r="Y149" s="63"/>
      <c r="Z149" s="63"/>
      <c r="AA149" s="9"/>
      <c r="AB149" s="140"/>
      <c r="AC149" s="140"/>
      <c r="AD149" s="140"/>
      <c r="AE149" s="140"/>
    </row>
    <row r="150" spans="1:31" s="201" customFormat="1" ht="11.25" customHeight="1">
      <c r="A150" s="564"/>
      <c r="B150" s="68"/>
      <c r="C150" s="68"/>
      <c r="K150" s="63"/>
      <c r="L150" s="68"/>
      <c r="M150" s="68"/>
      <c r="N150" s="63"/>
      <c r="O150" s="63"/>
      <c r="P150" s="63"/>
      <c r="Q150" s="63"/>
      <c r="R150" s="68"/>
      <c r="S150" s="63"/>
      <c r="T150" s="63"/>
      <c r="U150" s="307"/>
      <c r="V150" s="63"/>
      <c r="W150" s="63"/>
      <c r="X150" s="63"/>
      <c r="Y150" s="63"/>
      <c r="Z150" s="63"/>
      <c r="AA150" s="9"/>
      <c r="AB150" s="140"/>
      <c r="AC150" s="140"/>
      <c r="AD150" s="140"/>
      <c r="AE150" s="140"/>
    </row>
    <row r="151" spans="1:31" s="201" customFormat="1" ht="11.25" customHeight="1">
      <c r="A151" s="564"/>
      <c r="B151" s="68"/>
      <c r="C151" s="68"/>
      <c r="K151" s="63"/>
      <c r="L151" s="68"/>
      <c r="M151" s="68"/>
      <c r="N151" s="63"/>
      <c r="O151" s="63"/>
      <c r="P151" s="63"/>
      <c r="Q151" s="63"/>
      <c r="R151" s="68"/>
      <c r="S151" s="63"/>
      <c r="T151" s="63"/>
      <c r="U151" s="307"/>
      <c r="V151" s="63"/>
      <c r="W151" s="63"/>
      <c r="X151" s="63"/>
      <c r="Y151" s="63"/>
      <c r="Z151" s="63"/>
      <c r="AA151" s="9"/>
      <c r="AB151" s="140"/>
      <c r="AC151" s="140"/>
      <c r="AD151" s="140"/>
      <c r="AE151" s="140"/>
    </row>
    <row r="152" spans="1:31" s="201" customFormat="1" ht="11.25" customHeight="1">
      <c r="A152" s="564"/>
      <c r="B152" s="68"/>
      <c r="C152" s="68"/>
      <c r="K152" s="63"/>
      <c r="L152" s="68"/>
      <c r="M152" s="68"/>
      <c r="N152" s="63"/>
      <c r="O152" s="63"/>
      <c r="P152" s="63"/>
      <c r="Q152" s="63"/>
      <c r="R152" s="68"/>
      <c r="S152" s="63"/>
      <c r="T152" s="63"/>
      <c r="U152" s="307"/>
      <c r="V152" s="63"/>
      <c r="W152" s="63"/>
      <c r="X152" s="63"/>
      <c r="Y152" s="63"/>
      <c r="Z152" s="63"/>
      <c r="AA152" s="9"/>
      <c r="AB152" s="140"/>
      <c r="AC152" s="140"/>
      <c r="AD152" s="140"/>
      <c r="AE152" s="140"/>
    </row>
    <row r="153" spans="1:31" s="201" customFormat="1" ht="11.25" customHeight="1">
      <c r="A153" s="564"/>
      <c r="B153" s="68"/>
      <c r="C153" s="68"/>
      <c r="K153" s="63"/>
      <c r="L153" s="68"/>
      <c r="M153" s="68"/>
      <c r="N153" s="63"/>
      <c r="O153" s="63"/>
      <c r="P153" s="63"/>
      <c r="Q153" s="63"/>
      <c r="R153" s="68"/>
      <c r="S153" s="63"/>
      <c r="T153" s="63"/>
      <c r="U153" s="307"/>
      <c r="V153" s="63"/>
      <c r="W153" s="63"/>
      <c r="X153" s="63"/>
      <c r="Y153" s="63"/>
      <c r="Z153" s="63"/>
      <c r="AA153" s="9"/>
      <c r="AB153" s="140"/>
      <c r="AC153" s="140"/>
      <c r="AD153" s="140"/>
      <c r="AE153" s="140"/>
    </row>
    <row r="154" spans="1:31" s="201" customFormat="1" ht="11.25" customHeight="1">
      <c r="A154" s="564"/>
      <c r="B154" s="68"/>
      <c r="C154" s="68"/>
      <c r="K154" s="63"/>
      <c r="L154" s="68"/>
      <c r="M154" s="68"/>
      <c r="N154" s="63"/>
      <c r="O154" s="63"/>
      <c r="P154" s="63"/>
      <c r="Q154" s="63"/>
      <c r="R154" s="68"/>
      <c r="S154" s="63"/>
      <c r="T154" s="63"/>
      <c r="U154" s="307"/>
      <c r="V154" s="63"/>
      <c r="W154" s="63"/>
      <c r="X154" s="63"/>
      <c r="Y154" s="63"/>
      <c r="Z154" s="63"/>
      <c r="AA154" s="9"/>
      <c r="AB154" s="140"/>
      <c r="AC154" s="140"/>
      <c r="AD154" s="140"/>
      <c r="AE154" s="140"/>
    </row>
    <row r="155" spans="1:31" s="201" customFormat="1" ht="11.25" customHeight="1">
      <c r="A155" s="564"/>
      <c r="B155" s="68"/>
      <c r="C155" s="68"/>
      <c r="K155" s="63"/>
      <c r="L155" s="68"/>
      <c r="M155" s="68"/>
      <c r="N155" s="63"/>
      <c r="O155" s="63"/>
      <c r="P155" s="63"/>
      <c r="Q155" s="63"/>
      <c r="R155" s="68"/>
      <c r="S155" s="63"/>
      <c r="T155" s="63"/>
      <c r="U155" s="307"/>
      <c r="V155" s="63"/>
      <c r="W155" s="63"/>
      <c r="X155" s="63"/>
      <c r="Y155" s="63"/>
      <c r="Z155" s="63"/>
      <c r="AA155" s="9"/>
      <c r="AB155" s="140"/>
      <c r="AC155" s="140"/>
      <c r="AD155" s="140"/>
      <c r="AE155" s="140"/>
    </row>
    <row r="156" spans="1:31" s="201" customFormat="1" ht="11.25" customHeight="1">
      <c r="A156" s="564"/>
      <c r="B156" s="68"/>
      <c r="C156" s="68"/>
      <c r="K156" s="63"/>
      <c r="L156" s="68"/>
      <c r="M156" s="68"/>
      <c r="N156" s="63"/>
      <c r="O156" s="63"/>
      <c r="P156" s="63"/>
      <c r="Q156" s="63"/>
      <c r="R156" s="68"/>
      <c r="S156" s="63"/>
      <c r="T156" s="63"/>
      <c r="U156" s="307"/>
      <c r="V156" s="63"/>
      <c r="W156" s="63"/>
      <c r="X156" s="63"/>
      <c r="Y156" s="63"/>
      <c r="Z156" s="63"/>
      <c r="AA156" s="9"/>
      <c r="AB156" s="140"/>
      <c r="AC156" s="140"/>
      <c r="AD156" s="140"/>
      <c r="AE156" s="140"/>
    </row>
    <row r="157" spans="1:31" s="201" customFormat="1" ht="11.25" customHeight="1">
      <c r="A157" s="564"/>
      <c r="B157" s="68"/>
      <c r="C157" s="68"/>
      <c r="K157" s="63"/>
      <c r="L157" s="68"/>
      <c r="M157" s="68"/>
      <c r="N157" s="63"/>
      <c r="O157" s="63"/>
      <c r="P157" s="63"/>
      <c r="Q157" s="63"/>
      <c r="R157" s="68"/>
      <c r="S157" s="63"/>
      <c r="T157" s="63"/>
      <c r="U157" s="307"/>
      <c r="V157" s="63"/>
      <c r="W157" s="63"/>
      <c r="X157" s="63"/>
      <c r="Y157" s="63"/>
      <c r="Z157" s="63"/>
      <c r="AA157" s="9"/>
      <c r="AB157" s="140"/>
      <c r="AC157" s="140"/>
      <c r="AD157" s="140"/>
      <c r="AE157" s="140"/>
    </row>
    <row r="158" spans="1:31" s="201" customFormat="1" ht="11.25" customHeight="1">
      <c r="A158" s="564"/>
      <c r="B158" s="68"/>
      <c r="C158" s="68"/>
      <c r="K158" s="63"/>
      <c r="L158" s="68"/>
      <c r="M158" s="68"/>
      <c r="N158" s="63"/>
      <c r="O158" s="63"/>
      <c r="P158" s="63"/>
      <c r="Q158" s="63"/>
      <c r="R158" s="68"/>
      <c r="S158" s="63"/>
      <c r="T158" s="63"/>
      <c r="U158" s="307"/>
      <c r="V158" s="63"/>
      <c r="W158" s="63"/>
      <c r="X158" s="63"/>
      <c r="Y158" s="63"/>
      <c r="Z158" s="63"/>
      <c r="AA158" s="9"/>
      <c r="AB158" s="140"/>
      <c r="AC158" s="140"/>
      <c r="AD158" s="140"/>
      <c r="AE158" s="140"/>
    </row>
    <row r="159" spans="1:31" s="201" customFormat="1" ht="11.25" customHeight="1">
      <c r="A159" s="564"/>
      <c r="B159" s="68"/>
      <c r="C159" s="68"/>
      <c r="K159" s="63"/>
      <c r="L159" s="68"/>
      <c r="M159" s="68"/>
      <c r="N159" s="63"/>
      <c r="O159" s="63"/>
      <c r="P159" s="63"/>
      <c r="Q159" s="63"/>
      <c r="R159" s="68"/>
      <c r="S159" s="63"/>
      <c r="T159" s="63"/>
      <c r="U159" s="307"/>
      <c r="V159" s="63"/>
      <c r="W159" s="63"/>
      <c r="X159" s="63"/>
      <c r="Y159" s="63"/>
      <c r="Z159" s="63"/>
      <c r="AA159" s="9"/>
      <c r="AB159" s="140"/>
      <c r="AC159" s="140"/>
      <c r="AD159" s="140"/>
      <c r="AE159" s="140"/>
    </row>
    <row r="160" spans="1:31" s="201" customFormat="1" ht="11.25" customHeight="1">
      <c r="A160" s="564"/>
      <c r="B160" s="68"/>
      <c r="C160" s="68"/>
      <c r="K160" s="63"/>
      <c r="L160" s="68"/>
      <c r="M160" s="68"/>
      <c r="N160" s="63"/>
      <c r="O160" s="63"/>
      <c r="P160" s="63"/>
      <c r="Q160" s="63"/>
      <c r="R160" s="68"/>
      <c r="S160" s="63"/>
      <c r="T160" s="63"/>
      <c r="U160" s="307"/>
      <c r="V160" s="63"/>
      <c r="W160" s="63"/>
      <c r="X160" s="63"/>
      <c r="Y160" s="63"/>
      <c r="Z160" s="63"/>
      <c r="AA160" s="9"/>
      <c r="AB160" s="140"/>
      <c r="AC160" s="140"/>
      <c r="AD160" s="140"/>
      <c r="AE160" s="140"/>
    </row>
    <row r="161" spans="1:31" s="201" customFormat="1" ht="11.25" customHeight="1">
      <c r="A161" s="564"/>
      <c r="B161" s="68"/>
      <c r="C161" s="68"/>
      <c r="K161" s="63"/>
      <c r="L161" s="68"/>
      <c r="M161" s="68"/>
      <c r="N161" s="63"/>
      <c r="O161" s="63"/>
      <c r="P161" s="63"/>
      <c r="Q161" s="63"/>
      <c r="R161" s="68"/>
      <c r="S161" s="63"/>
      <c r="T161" s="63"/>
      <c r="U161" s="307"/>
      <c r="V161" s="63"/>
      <c r="W161" s="63"/>
      <c r="X161" s="63"/>
      <c r="Y161" s="63"/>
      <c r="Z161" s="63"/>
      <c r="AA161" s="9"/>
      <c r="AB161" s="140"/>
      <c r="AC161" s="140"/>
      <c r="AD161" s="140"/>
      <c r="AE161" s="140"/>
    </row>
    <row r="162" spans="1:31" s="201" customFormat="1" ht="11.25" customHeight="1">
      <c r="A162" s="564"/>
      <c r="B162" s="68"/>
      <c r="C162" s="68"/>
      <c r="K162" s="63"/>
      <c r="L162" s="68"/>
      <c r="M162" s="68"/>
      <c r="N162" s="63"/>
      <c r="O162" s="63"/>
      <c r="P162" s="63"/>
      <c r="Q162" s="63"/>
      <c r="R162" s="68"/>
      <c r="S162" s="63"/>
      <c r="T162" s="63"/>
      <c r="U162" s="307"/>
      <c r="V162" s="63"/>
      <c r="W162" s="63"/>
      <c r="X162" s="63"/>
      <c r="Y162" s="63"/>
      <c r="Z162" s="63"/>
      <c r="AA162" s="9"/>
      <c r="AB162" s="140"/>
      <c r="AC162" s="140"/>
      <c r="AD162" s="140"/>
      <c r="AE162" s="140"/>
    </row>
    <row r="163" spans="1:31" s="201" customFormat="1" ht="11.25" customHeight="1">
      <c r="A163" s="564"/>
      <c r="B163" s="68"/>
      <c r="C163" s="68"/>
      <c r="K163" s="63"/>
      <c r="L163" s="68"/>
      <c r="M163" s="68"/>
      <c r="N163" s="63"/>
      <c r="O163" s="63"/>
      <c r="P163" s="63"/>
      <c r="Q163" s="63"/>
      <c r="R163" s="68"/>
      <c r="S163" s="63"/>
      <c r="T163" s="63"/>
      <c r="U163" s="307"/>
      <c r="V163" s="63"/>
      <c r="W163" s="63"/>
      <c r="X163" s="63"/>
      <c r="Y163" s="63"/>
      <c r="Z163" s="63"/>
      <c r="AA163" s="9"/>
      <c r="AB163" s="140"/>
      <c r="AC163" s="140"/>
      <c r="AD163" s="140"/>
      <c r="AE163" s="140"/>
    </row>
    <row r="164" spans="1:31" s="201" customFormat="1" ht="11.25" customHeight="1">
      <c r="A164" s="564"/>
      <c r="B164" s="68"/>
      <c r="C164" s="68"/>
      <c r="K164" s="63"/>
      <c r="L164" s="68"/>
      <c r="M164" s="68"/>
      <c r="N164" s="63"/>
      <c r="O164" s="63"/>
      <c r="P164" s="63"/>
      <c r="Q164" s="63"/>
      <c r="R164" s="68"/>
      <c r="S164" s="63"/>
      <c r="T164" s="63"/>
      <c r="U164" s="307"/>
      <c r="V164" s="63"/>
      <c r="W164" s="63"/>
      <c r="X164" s="63"/>
      <c r="Y164" s="63"/>
      <c r="Z164" s="63"/>
      <c r="AA164" s="9"/>
      <c r="AB164" s="140"/>
      <c r="AC164" s="140"/>
      <c r="AD164" s="140"/>
      <c r="AE164" s="140"/>
    </row>
    <row r="165" spans="1:31" s="201" customFormat="1" ht="11.25" customHeight="1">
      <c r="A165" s="564"/>
      <c r="B165" s="68"/>
      <c r="C165" s="68"/>
      <c r="K165" s="63"/>
      <c r="L165" s="68"/>
      <c r="M165" s="68"/>
      <c r="N165" s="63"/>
      <c r="O165" s="63"/>
      <c r="P165" s="63"/>
      <c r="Q165" s="63"/>
      <c r="R165" s="68"/>
      <c r="S165" s="63"/>
      <c r="T165" s="63"/>
      <c r="U165" s="307"/>
      <c r="V165" s="63"/>
      <c r="W165" s="63"/>
      <c r="X165" s="63"/>
      <c r="Y165" s="63"/>
      <c r="Z165" s="63"/>
      <c r="AA165" s="9"/>
      <c r="AB165" s="140"/>
      <c r="AC165" s="140"/>
      <c r="AD165" s="140"/>
      <c r="AE165" s="140"/>
    </row>
    <row r="166" spans="1:31" s="201" customFormat="1" ht="11.25" customHeight="1">
      <c r="A166" s="564"/>
      <c r="B166" s="68"/>
      <c r="C166" s="68"/>
      <c r="K166" s="63"/>
      <c r="L166" s="68"/>
      <c r="M166" s="68"/>
      <c r="N166" s="63"/>
      <c r="O166" s="63"/>
      <c r="P166" s="63"/>
      <c r="Q166" s="63"/>
      <c r="R166" s="68"/>
      <c r="S166" s="63"/>
      <c r="T166" s="63"/>
      <c r="U166" s="307"/>
      <c r="V166" s="63"/>
      <c r="W166" s="63"/>
      <c r="X166" s="63"/>
      <c r="Y166" s="63"/>
      <c r="Z166" s="63"/>
      <c r="AA166" s="9"/>
      <c r="AB166" s="140"/>
      <c r="AC166" s="140"/>
      <c r="AD166" s="140"/>
      <c r="AE166" s="140"/>
    </row>
    <row r="167" spans="1:31" s="201" customFormat="1" ht="11.25" customHeight="1">
      <c r="A167" s="564"/>
      <c r="B167" s="68"/>
      <c r="C167" s="68"/>
      <c r="K167" s="63"/>
      <c r="L167" s="68"/>
      <c r="M167" s="68"/>
      <c r="N167" s="63"/>
      <c r="O167" s="63"/>
      <c r="P167" s="63"/>
      <c r="Q167" s="63"/>
      <c r="R167" s="68"/>
      <c r="S167" s="63"/>
      <c r="T167" s="63"/>
      <c r="U167" s="307"/>
      <c r="V167" s="63"/>
      <c r="W167" s="63"/>
      <c r="X167" s="63"/>
      <c r="Y167" s="63"/>
      <c r="Z167" s="63"/>
      <c r="AA167" s="9"/>
      <c r="AB167" s="140"/>
      <c r="AC167" s="140"/>
      <c r="AD167" s="140"/>
      <c r="AE167" s="140"/>
    </row>
    <row r="168" spans="1:31" s="201" customFormat="1" ht="11.25" customHeight="1">
      <c r="A168" s="564"/>
      <c r="B168" s="68"/>
      <c r="C168" s="68"/>
      <c r="K168" s="63"/>
      <c r="L168" s="68"/>
      <c r="M168" s="68"/>
      <c r="N168" s="63"/>
      <c r="O168" s="63"/>
      <c r="P168" s="63"/>
      <c r="Q168" s="63"/>
      <c r="R168" s="68"/>
      <c r="S168" s="63"/>
      <c r="T168" s="63"/>
      <c r="U168" s="307"/>
      <c r="V168" s="63"/>
      <c r="W168" s="63"/>
      <c r="X168" s="63"/>
      <c r="Y168" s="63"/>
      <c r="Z168" s="63"/>
      <c r="AA168" s="9"/>
      <c r="AB168" s="140"/>
      <c r="AC168" s="140"/>
      <c r="AD168" s="140"/>
      <c r="AE168" s="140"/>
    </row>
    <row r="169" spans="1:31" s="201" customFormat="1" ht="11.25" customHeight="1">
      <c r="A169" s="564"/>
      <c r="B169" s="68"/>
      <c r="C169" s="68"/>
      <c r="K169" s="63"/>
      <c r="L169" s="68"/>
      <c r="M169" s="68"/>
      <c r="N169" s="63"/>
      <c r="O169" s="63"/>
      <c r="P169" s="63"/>
      <c r="Q169" s="63"/>
      <c r="R169" s="68"/>
      <c r="S169" s="63"/>
      <c r="T169" s="63"/>
      <c r="U169" s="307"/>
      <c r="V169" s="63"/>
      <c r="W169" s="63"/>
      <c r="X169" s="63"/>
      <c r="Y169" s="63"/>
      <c r="Z169" s="63"/>
      <c r="AA169" s="9"/>
      <c r="AB169" s="140"/>
      <c r="AC169" s="140"/>
      <c r="AD169" s="140"/>
      <c r="AE169" s="140"/>
    </row>
    <row r="170" spans="1:31" s="201" customFormat="1" ht="11.25" customHeight="1">
      <c r="A170" s="564"/>
      <c r="B170" s="68"/>
      <c r="C170" s="68"/>
      <c r="K170" s="63"/>
      <c r="L170" s="68"/>
      <c r="M170" s="68"/>
      <c r="N170" s="63"/>
      <c r="O170" s="63"/>
      <c r="P170" s="63"/>
      <c r="Q170" s="63"/>
      <c r="R170" s="68"/>
      <c r="S170" s="63"/>
      <c r="T170" s="63"/>
      <c r="U170" s="307"/>
      <c r="V170" s="63"/>
      <c r="W170" s="63"/>
      <c r="X170" s="63"/>
      <c r="Y170" s="63"/>
      <c r="Z170" s="63"/>
      <c r="AA170" s="9"/>
      <c r="AB170" s="140"/>
      <c r="AC170" s="140"/>
      <c r="AD170" s="140"/>
      <c r="AE170" s="140"/>
    </row>
    <row r="171" spans="1:31" s="201" customFormat="1" ht="11.25" customHeight="1">
      <c r="A171" s="564"/>
      <c r="B171" s="68"/>
      <c r="C171" s="68"/>
      <c r="K171" s="63"/>
      <c r="L171" s="68"/>
      <c r="M171" s="68"/>
      <c r="N171" s="63"/>
      <c r="O171" s="63"/>
      <c r="P171" s="63"/>
      <c r="Q171" s="63"/>
      <c r="R171" s="68"/>
      <c r="S171" s="63"/>
      <c r="T171" s="63"/>
      <c r="U171" s="307"/>
      <c r="V171" s="63"/>
      <c r="W171" s="63"/>
      <c r="X171" s="63"/>
      <c r="Y171" s="63"/>
      <c r="Z171" s="63"/>
      <c r="AA171" s="9"/>
      <c r="AB171" s="140"/>
      <c r="AC171" s="140"/>
      <c r="AD171" s="140"/>
      <c r="AE171" s="140"/>
    </row>
    <row r="172" spans="1:31" s="201" customFormat="1" ht="11.25" customHeight="1">
      <c r="A172" s="564"/>
      <c r="B172" s="68"/>
      <c r="C172" s="68"/>
      <c r="K172" s="63"/>
      <c r="L172" s="68"/>
      <c r="M172" s="68"/>
      <c r="N172" s="63"/>
      <c r="O172" s="63"/>
      <c r="P172" s="63"/>
      <c r="Q172" s="63"/>
      <c r="R172" s="68"/>
      <c r="S172" s="63"/>
      <c r="T172" s="63"/>
      <c r="U172" s="307"/>
      <c r="V172" s="63"/>
      <c r="W172" s="63"/>
      <c r="X172" s="63"/>
      <c r="Y172" s="63"/>
      <c r="Z172" s="63"/>
      <c r="AA172" s="9"/>
      <c r="AB172" s="140"/>
      <c r="AC172" s="140"/>
      <c r="AD172" s="140"/>
      <c r="AE172" s="140"/>
    </row>
    <row r="173" spans="1:31" s="201" customFormat="1" ht="11.25" customHeight="1">
      <c r="A173" s="564"/>
      <c r="B173" s="68"/>
      <c r="C173" s="68"/>
      <c r="K173" s="63"/>
      <c r="L173" s="68"/>
      <c r="M173" s="68"/>
      <c r="N173" s="63"/>
      <c r="O173" s="63"/>
      <c r="P173" s="63"/>
      <c r="Q173" s="63"/>
      <c r="R173" s="68"/>
      <c r="S173" s="63"/>
      <c r="T173" s="63"/>
      <c r="U173" s="307"/>
      <c r="V173" s="63"/>
      <c r="W173" s="63"/>
      <c r="X173" s="63"/>
      <c r="Y173" s="63"/>
      <c r="Z173" s="63"/>
      <c r="AA173" s="9"/>
      <c r="AB173" s="140"/>
      <c r="AC173" s="140"/>
      <c r="AD173" s="140"/>
      <c r="AE173" s="140"/>
    </row>
    <row r="174" spans="1:31" s="201" customFormat="1" ht="11.25" customHeight="1">
      <c r="A174" s="564"/>
      <c r="B174" s="68"/>
      <c r="C174" s="68"/>
      <c r="K174" s="63"/>
      <c r="L174" s="68"/>
      <c r="M174" s="68"/>
      <c r="N174" s="63"/>
      <c r="O174" s="63"/>
      <c r="P174" s="63"/>
      <c r="Q174" s="63"/>
      <c r="R174" s="68"/>
      <c r="S174" s="63"/>
      <c r="T174" s="63"/>
      <c r="U174" s="307"/>
      <c r="V174" s="63"/>
      <c r="W174" s="63"/>
      <c r="X174" s="63"/>
      <c r="Y174" s="63"/>
      <c r="Z174" s="63"/>
      <c r="AA174" s="9"/>
      <c r="AB174" s="140"/>
      <c r="AC174" s="140"/>
      <c r="AD174" s="140"/>
      <c r="AE174" s="140"/>
    </row>
    <row r="175" spans="1:31" s="201" customFormat="1" ht="11.25" customHeight="1">
      <c r="A175" s="564"/>
      <c r="B175" s="68"/>
      <c r="C175" s="68"/>
      <c r="K175" s="63"/>
      <c r="L175" s="68"/>
      <c r="M175" s="68"/>
      <c r="N175" s="63"/>
      <c r="O175" s="63"/>
      <c r="P175" s="63"/>
      <c r="Q175" s="63"/>
      <c r="R175" s="68"/>
      <c r="S175" s="63"/>
      <c r="T175" s="63"/>
      <c r="U175" s="307"/>
      <c r="V175" s="63"/>
      <c r="W175" s="63"/>
      <c r="X175" s="63"/>
      <c r="Y175" s="63"/>
      <c r="Z175" s="63"/>
      <c r="AA175" s="9"/>
      <c r="AB175" s="140"/>
      <c r="AC175" s="140"/>
      <c r="AD175" s="140"/>
      <c r="AE175" s="140"/>
    </row>
    <row r="176" spans="1:31" s="201" customFormat="1" ht="11.25" customHeight="1">
      <c r="A176" s="564"/>
      <c r="B176" s="68"/>
      <c r="C176" s="68"/>
      <c r="K176" s="63"/>
      <c r="L176" s="68"/>
      <c r="M176" s="68"/>
      <c r="N176" s="63"/>
      <c r="O176" s="63"/>
      <c r="P176" s="63"/>
      <c r="Q176" s="63"/>
      <c r="R176" s="68"/>
      <c r="S176" s="63"/>
      <c r="T176" s="63"/>
      <c r="U176" s="307"/>
      <c r="V176" s="63"/>
      <c r="W176" s="63"/>
      <c r="X176" s="63"/>
      <c r="Y176" s="63"/>
      <c r="Z176" s="63"/>
      <c r="AA176" s="9"/>
      <c r="AB176" s="140"/>
      <c r="AC176" s="140"/>
      <c r="AD176" s="140"/>
      <c r="AE176" s="140"/>
    </row>
    <row r="177" spans="1:31" s="201" customFormat="1" ht="11.25" customHeight="1">
      <c r="A177" s="564"/>
      <c r="B177" s="68"/>
      <c r="C177" s="68"/>
      <c r="K177" s="63"/>
      <c r="L177" s="68"/>
      <c r="M177" s="68"/>
      <c r="N177" s="63"/>
      <c r="O177" s="63"/>
      <c r="P177" s="63"/>
      <c r="Q177" s="63"/>
      <c r="R177" s="68"/>
      <c r="S177" s="63"/>
      <c r="T177" s="63"/>
      <c r="U177" s="307"/>
      <c r="V177" s="63"/>
      <c r="W177" s="63"/>
      <c r="X177" s="63"/>
      <c r="Y177" s="63"/>
      <c r="Z177" s="63"/>
      <c r="AA177" s="9"/>
      <c r="AB177" s="140"/>
      <c r="AC177" s="140"/>
      <c r="AD177" s="140"/>
      <c r="AE177" s="140"/>
    </row>
    <row r="178" spans="1:31" s="201" customFormat="1" ht="11.25" customHeight="1">
      <c r="A178" s="564"/>
      <c r="B178" s="68"/>
      <c r="C178" s="68"/>
      <c r="K178" s="63"/>
      <c r="L178" s="68"/>
      <c r="M178" s="68"/>
      <c r="N178" s="63"/>
      <c r="O178" s="63"/>
      <c r="P178" s="63"/>
      <c r="Q178" s="63"/>
      <c r="R178" s="68"/>
      <c r="S178" s="63"/>
      <c r="T178" s="63"/>
      <c r="U178" s="307"/>
      <c r="V178" s="63"/>
      <c r="W178" s="63"/>
      <c r="X178" s="63"/>
      <c r="Y178" s="63"/>
      <c r="Z178" s="63"/>
      <c r="AA178" s="9"/>
      <c r="AB178" s="140"/>
      <c r="AC178" s="140"/>
      <c r="AD178" s="140"/>
      <c r="AE178" s="140"/>
    </row>
    <row r="179" spans="1:31" s="201" customFormat="1" ht="11.25" customHeight="1">
      <c r="A179" s="564"/>
      <c r="B179" s="68"/>
      <c r="C179" s="68"/>
      <c r="K179" s="63"/>
      <c r="L179" s="68"/>
      <c r="M179" s="68"/>
      <c r="N179" s="63"/>
      <c r="O179" s="63"/>
      <c r="P179" s="63"/>
      <c r="Q179" s="63"/>
      <c r="R179" s="68"/>
      <c r="S179" s="63"/>
      <c r="T179" s="63"/>
      <c r="U179" s="307"/>
      <c r="V179" s="63"/>
      <c r="W179" s="63"/>
      <c r="X179" s="63"/>
      <c r="Y179" s="63"/>
      <c r="Z179" s="63"/>
      <c r="AA179" s="9"/>
      <c r="AB179" s="140"/>
      <c r="AC179" s="140"/>
      <c r="AD179" s="140"/>
      <c r="AE179" s="140"/>
    </row>
    <row r="180" spans="1:31" s="201" customFormat="1" ht="11.25" customHeight="1">
      <c r="A180" s="564"/>
      <c r="B180" s="68"/>
      <c r="C180" s="68"/>
      <c r="K180" s="63"/>
      <c r="L180" s="68"/>
      <c r="M180" s="68"/>
      <c r="N180" s="63"/>
      <c r="O180" s="63"/>
      <c r="P180" s="63"/>
      <c r="Q180" s="63"/>
      <c r="R180" s="68"/>
      <c r="S180" s="63"/>
      <c r="T180" s="63"/>
      <c r="U180" s="307"/>
      <c r="V180" s="63"/>
      <c r="W180" s="63"/>
      <c r="X180" s="63"/>
      <c r="Y180" s="63"/>
      <c r="Z180" s="63"/>
      <c r="AA180" s="9"/>
      <c r="AB180" s="140"/>
      <c r="AC180" s="140"/>
      <c r="AD180" s="140"/>
      <c r="AE180" s="140"/>
    </row>
    <row r="181" spans="1:31" s="201" customFormat="1" ht="11.25" customHeight="1">
      <c r="A181" s="564"/>
      <c r="B181" s="68"/>
      <c r="C181" s="68"/>
      <c r="K181" s="63"/>
      <c r="L181" s="68"/>
      <c r="M181" s="68"/>
      <c r="N181" s="63"/>
      <c r="O181" s="63"/>
      <c r="P181" s="63"/>
      <c r="Q181" s="63"/>
      <c r="R181" s="68"/>
      <c r="S181" s="63"/>
      <c r="T181" s="63"/>
      <c r="U181" s="307"/>
      <c r="V181" s="63"/>
      <c r="W181" s="63"/>
      <c r="X181" s="63"/>
      <c r="Y181" s="63"/>
      <c r="Z181" s="63"/>
      <c r="AA181" s="9"/>
      <c r="AB181" s="140"/>
      <c r="AC181" s="140"/>
      <c r="AD181" s="140"/>
      <c r="AE181" s="140"/>
    </row>
    <row r="182" spans="1:31" s="201" customFormat="1" ht="11.25" customHeight="1">
      <c r="A182" s="564"/>
      <c r="B182" s="68"/>
      <c r="C182" s="68"/>
      <c r="K182" s="63"/>
      <c r="L182" s="68"/>
      <c r="M182" s="68"/>
      <c r="N182" s="63"/>
      <c r="O182" s="63"/>
      <c r="P182" s="63"/>
      <c r="Q182" s="63"/>
      <c r="R182" s="68"/>
      <c r="S182" s="63"/>
      <c r="T182" s="63"/>
      <c r="U182" s="307"/>
      <c r="V182" s="63"/>
      <c r="W182" s="63"/>
      <c r="X182" s="63"/>
      <c r="Y182" s="63"/>
      <c r="Z182" s="63"/>
      <c r="AA182" s="9"/>
      <c r="AB182" s="140"/>
      <c r="AC182" s="140"/>
      <c r="AD182" s="140"/>
      <c r="AE182" s="140"/>
    </row>
    <row r="183" spans="1:31" s="201" customFormat="1" ht="11.25" customHeight="1">
      <c r="A183" s="564"/>
      <c r="B183" s="68"/>
      <c r="C183" s="68"/>
      <c r="K183" s="63"/>
      <c r="L183" s="68"/>
      <c r="M183" s="68"/>
      <c r="N183" s="63"/>
      <c r="O183" s="63"/>
      <c r="P183" s="63"/>
      <c r="Q183" s="63"/>
      <c r="R183" s="68"/>
      <c r="S183" s="63"/>
      <c r="T183" s="63"/>
      <c r="U183" s="307"/>
      <c r="V183" s="63"/>
      <c r="W183" s="63"/>
      <c r="X183" s="63"/>
      <c r="Y183" s="63"/>
      <c r="Z183" s="63"/>
      <c r="AA183" s="9"/>
      <c r="AB183" s="140"/>
      <c r="AC183" s="140"/>
      <c r="AD183" s="140"/>
      <c r="AE183" s="140"/>
    </row>
    <row r="184" spans="1:31" s="201" customFormat="1" ht="11.25" customHeight="1">
      <c r="A184" s="564"/>
      <c r="B184" s="68"/>
      <c r="C184" s="68"/>
      <c r="K184" s="63"/>
      <c r="L184" s="68"/>
      <c r="M184" s="68"/>
      <c r="N184" s="63"/>
      <c r="O184" s="63"/>
      <c r="P184" s="63"/>
      <c r="Q184" s="63"/>
      <c r="R184" s="68"/>
      <c r="S184" s="63"/>
      <c r="T184" s="63"/>
      <c r="U184" s="307"/>
      <c r="V184" s="63"/>
      <c r="W184" s="63"/>
      <c r="X184" s="63"/>
      <c r="Y184" s="63"/>
      <c r="Z184" s="63"/>
      <c r="AA184" s="9"/>
      <c r="AB184" s="140"/>
      <c r="AC184" s="140"/>
      <c r="AD184" s="140"/>
      <c r="AE184" s="140"/>
    </row>
    <row r="185" spans="1:31" s="201" customFormat="1" ht="11.25" customHeight="1">
      <c r="A185" s="564"/>
      <c r="B185" s="68"/>
      <c r="C185" s="68"/>
      <c r="K185" s="63"/>
      <c r="L185" s="68"/>
      <c r="M185" s="68"/>
      <c r="N185" s="63"/>
      <c r="O185" s="63"/>
      <c r="P185" s="63"/>
      <c r="Q185" s="63"/>
      <c r="R185" s="68"/>
      <c r="S185" s="63"/>
      <c r="T185" s="63"/>
      <c r="U185" s="307"/>
      <c r="V185" s="63"/>
      <c r="W185" s="63"/>
      <c r="X185" s="63"/>
      <c r="Y185" s="63"/>
      <c r="Z185" s="63"/>
      <c r="AA185" s="9"/>
      <c r="AB185" s="140"/>
      <c r="AC185" s="140"/>
      <c r="AD185" s="140"/>
      <c r="AE185" s="140"/>
    </row>
    <row r="186" spans="1:31" s="201" customFormat="1" ht="11.25" customHeight="1">
      <c r="A186" s="564"/>
      <c r="B186" s="68"/>
      <c r="C186" s="68"/>
      <c r="K186" s="63"/>
      <c r="L186" s="68"/>
      <c r="M186" s="68"/>
      <c r="N186" s="63"/>
      <c r="O186" s="63"/>
      <c r="P186" s="63"/>
      <c r="Q186" s="63"/>
      <c r="R186" s="68"/>
      <c r="S186" s="63"/>
      <c r="T186" s="63"/>
      <c r="U186" s="307"/>
      <c r="V186" s="63"/>
      <c r="W186" s="63"/>
      <c r="X186" s="63"/>
      <c r="Y186" s="63"/>
      <c r="Z186" s="63"/>
      <c r="AA186" s="9"/>
      <c r="AB186" s="140"/>
      <c r="AC186" s="140"/>
      <c r="AD186" s="140"/>
      <c r="AE186" s="140"/>
    </row>
    <row r="187" spans="1:31" s="201" customFormat="1" ht="11.25" customHeight="1">
      <c r="A187" s="564"/>
      <c r="B187" s="68"/>
      <c r="C187" s="68"/>
      <c r="K187" s="63"/>
      <c r="L187" s="68"/>
      <c r="M187" s="68"/>
      <c r="N187" s="63"/>
      <c r="O187" s="63"/>
      <c r="P187" s="63"/>
      <c r="Q187" s="63"/>
      <c r="R187" s="68"/>
      <c r="S187" s="63"/>
      <c r="T187" s="63"/>
      <c r="U187" s="307"/>
      <c r="V187" s="63"/>
      <c r="W187" s="63"/>
      <c r="X187" s="63"/>
      <c r="Y187" s="63"/>
      <c r="Z187" s="63"/>
      <c r="AA187" s="9"/>
      <c r="AB187" s="140"/>
      <c r="AC187" s="140"/>
      <c r="AD187" s="140"/>
      <c r="AE187" s="140"/>
    </row>
    <row r="188" spans="1:31" s="201" customFormat="1" ht="11.25" customHeight="1">
      <c r="A188" s="564"/>
      <c r="B188" s="68"/>
      <c r="C188" s="68"/>
      <c r="K188" s="63"/>
      <c r="L188" s="68"/>
      <c r="M188" s="68"/>
      <c r="N188" s="63"/>
      <c r="O188" s="63"/>
      <c r="P188" s="63"/>
      <c r="Q188" s="63"/>
      <c r="R188" s="68"/>
      <c r="S188" s="63"/>
      <c r="T188" s="63"/>
      <c r="U188" s="307"/>
      <c r="V188" s="63"/>
      <c r="W188" s="63"/>
      <c r="X188" s="63"/>
      <c r="Y188" s="63"/>
      <c r="Z188" s="63"/>
      <c r="AA188" s="9"/>
      <c r="AB188" s="140"/>
      <c r="AC188" s="140"/>
      <c r="AD188" s="140"/>
      <c r="AE188" s="140"/>
    </row>
    <row r="189" spans="1:31" s="201" customFormat="1" ht="11.25" customHeight="1">
      <c r="A189" s="564"/>
      <c r="B189" s="68"/>
      <c r="C189" s="68"/>
      <c r="K189" s="63"/>
      <c r="L189" s="68"/>
      <c r="M189" s="68"/>
      <c r="N189" s="63"/>
      <c r="O189" s="63"/>
      <c r="P189" s="63"/>
      <c r="Q189" s="63"/>
      <c r="R189" s="68"/>
      <c r="S189" s="63"/>
      <c r="T189" s="63"/>
      <c r="U189" s="307"/>
      <c r="V189" s="63"/>
      <c r="W189" s="63"/>
      <c r="X189" s="63"/>
      <c r="Y189" s="63"/>
      <c r="Z189" s="63"/>
      <c r="AA189" s="9"/>
      <c r="AB189" s="140"/>
      <c r="AC189" s="140"/>
      <c r="AD189" s="140"/>
      <c r="AE189" s="140"/>
    </row>
    <row r="190" spans="1:31" s="201" customFormat="1" ht="11.25" customHeight="1">
      <c r="A190" s="564"/>
      <c r="B190" s="68"/>
      <c r="C190" s="68"/>
      <c r="K190" s="63"/>
      <c r="L190" s="68"/>
      <c r="M190" s="68"/>
      <c r="N190" s="63"/>
      <c r="O190" s="63"/>
      <c r="P190" s="63"/>
      <c r="Q190" s="63"/>
      <c r="R190" s="68"/>
      <c r="S190" s="63"/>
      <c r="T190" s="63"/>
      <c r="U190" s="307"/>
      <c r="V190" s="63"/>
      <c r="W190" s="63"/>
      <c r="X190" s="63"/>
      <c r="Y190" s="63"/>
      <c r="Z190" s="63"/>
      <c r="AA190" s="9"/>
      <c r="AB190" s="140"/>
      <c r="AC190" s="140"/>
      <c r="AD190" s="140"/>
      <c r="AE190" s="140"/>
    </row>
    <row r="191" spans="1:31" s="201" customFormat="1" ht="11.25" customHeight="1">
      <c r="A191" s="564"/>
      <c r="B191" s="68"/>
      <c r="C191" s="68"/>
      <c r="K191" s="63"/>
      <c r="L191" s="68"/>
      <c r="M191" s="68"/>
      <c r="N191" s="63"/>
      <c r="O191" s="63"/>
      <c r="P191" s="63"/>
      <c r="Q191" s="63"/>
      <c r="R191" s="68"/>
      <c r="S191" s="63"/>
      <c r="T191" s="63"/>
      <c r="U191" s="307"/>
      <c r="V191" s="63"/>
      <c r="W191" s="63"/>
      <c r="X191" s="63"/>
      <c r="Y191" s="63"/>
      <c r="Z191" s="63"/>
      <c r="AA191" s="9"/>
      <c r="AB191" s="140"/>
      <c r="AC191" s="140"/>
      <c r="AD191" s="140"/>
      <c r="AE191" s="140"/>
    </row>
    <row r="192" spans="1:31" s="201" customFormat="1" ht="11.25" customHeight="1">
      <c r="A192" s="564"/>
      <c r="B192" s="68"/>
      <c r="C192" s="68"/>
      <c r="K192" s="63"/>
      <c r="L192" s="68"/>
      <c r="M192" s="68"/>
      <c r="N192" s="63"/>
      <c r="O192" s="63"/>
      <c r="P192" s="63"/>
      <c r="Q192" s="63"/>
      <c r="R192" s="68"/>
      <c r="S192" s="63"/>
      <c r="T192" s="63"/>
      <c r="U192" s="307"/>
      <c r="V192" s="63"/>
      <c r="W192" s="63"/>
      <c r="X192" s="63"/>
      <c r="Y192" s="63"/>
      <c r="Z192" s="63"/>
      <c r="AA192" s="9"/>
      <c r="AB192" s="140"/>
      <c r="AC192" s="140"/>
      <c r="AD192" s="140"/>
      <c r="AE192" s="140"/>
    </row>
    <row r="193" spans="1:31" s="201" customFormat="1" ht="11.25" customHeight="1">
      <c r="A193" s="564"/>
      <c r="B193" s="68"/>
      <c r="C193" s="68"/>
      <c r="K193" s="63"/>
      <c r="L193" s="68"/>
      <c r="M193" s="68"/>
      <c r="N193" s="63"/>
      <c r="O193" s="63"/>
      <c r="P193" s="63"/>
      <c r="Q193" s="63"/>
      <c r="R193" s="68"/>
      <c r="S193" s="63"/>
      <c r="T193" s="63"/>
      <c r="U193" s="307"/>
      <c r="V193" s="63"/>
      <c r="W193" s="63"/>
      <c r="X193" s="63"/>
      <c r="Y193" s="63"/>
      <c r="Z193" s="63"/>
      <c r="AA193" s="9"/>
      <c r="AB193" s="140"/>
      <c r="AC193" s="140"/>
      <c r="AD193" s="140"/>
      <c r="AE193" s="140"/>
    </row>
    <row r="194" spans="1:31" s="201" customFormat="1" ht="11.25" customHeight="1">
      <c r="A194" s="564"/>
      <c r="B194" s="68"/>
      <c r="C194" s="68"/>
      <c r="K194" s="63"/>
      <c r="L194" s="68"/>
      <c r="M194" s="68"/>
      <c r="N194" s="63"/>
      <c r="O194" s="63"/>
      <c r="P194" s="63"/>
      <c r="Q194" s="63"/>
      <c r="R194" s="68"/>
      <c r="S194" s="63"/>
      <c r="T194" s="63"/>
      <c r="U194" s="307"/>
      <c r="V194" s="63"/>
      <c r="W194" s="63"/>
      <c r="X194" s="63"/>
      <c r="Y194" s="63"/>
      <c r="Z194" s="63"/>
      <c r="AA194" s="9"/>
      <c r="AB194" s="140"/>
      <c r="AC194" s="140"/>
      <c r="AD194" s="140"/>
      <c r="AE194" s="140"/>
    </row>
    <row r="195" spans="1:31" s="201" customFormat="1" ht="11.25" customHeight="1">
      <c r="A195" s="564"/>
      <c r="B195" s="68"/>
      <c r="C195" s="68"/>
      <c r="K195" s="63"/>
      <c r="L195" s="68"/>
      <c r="M195" s="68"/>
      <c r="N195" s="63"/>
      <c r="O195" s="63"/>
      <c r="P195" s="63"/>
      <c r="Q195" s="63"/>
      <c r="R195" s="68"/>
      <c r="S195" s="63"/>
      <c r="T195" s="63"/>
      <c r="U195" s="307"/>
      <c r="V195" s="63"/>
      <c r="W195" s="63"/>
      <c r="X195" s="63"/>
      <c r="Y195" s="63"/>
      <c r="Z195" s="63"/>
      <c r="AA195" s="9"/>
      <c r="AB195" s="140"/>
      <c r="AC195" s="140"/>
      <c r="AD195" s="140"/>
      <c r="AE195" s="140"/>
    </row>
    <row r="199" spans="1:31" ht="11.25" customHeight="1">
      <c r="A199" s="567"/>
      <c r="B199" s="12"/>
      <c r="K199" s="12"/>
      <c r="N199" s="12"/>
      <c r="O199" s="12"/>
      <c r="P199" s="12"/>
      <c r="Q199" s="12"/>
      <c r="S199" s="12"/>
      <c r="T199" s="12"/>
      <c r="U199" s="12"/>
      <c r="V199" s="12"/>
      <c r="W199" s="12"/>
      <c r="X199" s="12"/>
      <c r="Y199" s="12"/>
      <c r="Z199" s="12"/>
      <c r="AA199" s="12"/>
      <c r="AB199" s="12"/>
      <c r="AC199" s="12"/>
      <c r="AD199" s="12"/>
      <c r="AE199" s="12"/>
    </row>
    <row r="200" spans="1:31" ht="11.25" customHeight="1">
      <c r="A200" s="567"/>
      <c r="B200" s="12"/>
      <c r="K200" s="12"/>
      <c r="N200" s="12"/>
      <c r="O200" s="12"/>
      <c r="P200" s="12"/>
      <c r="Q200" s="12"/>
      <c r="S200" s="12"/>
      <c r="T200" s="12"/>
      <c r="U200" s="12"/>
      <c r="V200" s="12"/>
      <c r="W200" s="12"/>
      <c r="X200" s="12"/>
      <c r="Y200" s="12"/>
      <c r="Z200" s="12"/>
      <c r="AA200" s="12"/>
      <c r="AB200" s="12"/>
      <c r="AC200" s="12"/>
      <c r="AD200" s="12"/>
      <c r="AE200" s="12"/>
    </row>
    <row r="201" spans="1:31" ht="11.25" customHeight="1">
      <c r="A201" s="567"/>
      <c r="B201" s="12"/>
      <c r="K201" s="12"/>
      <c r="N201" s="12"/>
      <c r="O201" s="12"/>
      <c r="P201" s="12"/>
      <c r="Q201" s="12"/>
      <c r="S201" s="12"/>
      <c r="T201" s="12"/>
      <c r="U201" s="12"/>
      <c r="V201" s="12"/>
      <c r="W201" s="12"/>
      <c r="X201" s="12"/>
      <c r="Y201" s="12"/>
      <c r="Z201" s="12"/>
      <c r="AA201" s="12"/>
      <c r="AB201" s="12"/>
      <c r="AC201" s="12"/>
      <c r="AD201" s="12"/>
      <c r="AE201" s="12"/>
    </row>
    <row r="202" spans="1:31" ht="11.25" customHeight="1">
      <c r="A202" s="567"/>
      <c r="B202" s="12"/>
      <c r="K202" s="12"/>
      <c r="N202" s="12"/>
      <c r="O202" s="12"/>
      <c r="P202" s="12"/>
      <c r="Q202" s="12"/>
      <c r="S202" s="12"/>
      <c r="T202" s="12"/>
      <c r="U202" s="12"/>
      <c r="V202" s="12"/>
      <c r="W202" s="12"/>
      <c r="X202" s="12"/>
      <c r="Y202" s="12"/>
      <c r="Z202" s="12"/>
      <c r="AA202" s="12"/>
      <c r="AB202" s="12"/>
      <c r="AC202" s="12"/>
      <c r="AD202" s="12"/>
      <c r="AE202" s="12"/>
    </row>
    <row r="203" spans="1:31" ht="11.25" customHeight="1">
      <c r="A203" s="567"/>
      <c r="B203" s="12"/>
      <c r="K203" s="12"/>
      <c r="N203" s="12"/>
      <c r="O203" s="12"/>
      <c r="P203" s="12"/>
      <c r="Q203" s="12"/>
      <c r="S203" s="12"/>
      <c r="T203" s="12"/>
      <c r="U203" s="12"/>
      <c r="V203" s="12"/>
      <c r="W203" s="12"/>
      <c r="X203" s="12"/>
      <c r="Y203" s="12"/>
      <c r="Z203" s="12"/>
      <c r="AA203" s="12"/>
      <c r="AB203" s="12"/>
      <c r="AC203" s="12"/>
      <c r="AD203" s="12"/>
      <c r="AE203" s="12"/>
    </row>
    <row r="204" spans="1:31" ht="11.25" customHeight="1">
      <c r="A204" s="567"/>
      <c r="B204" s="12"/>
      <c r="K204" s="12"/>
      <c r="N204" s="12"/>
      <c r="O204" s="12"/>
      <c r="P204" s="12"/>
      <c r="Q204" s="12"/>
      <c r="S204" s="12"/>
      <c r="T204" s="12"/>
      <c r="U204" s="12"/>
      <c r="V204" s="12"/>
      <c r="W204" s="12"/>
      <c r="X204" s="12"/>
      <c r="Y204" s="12"/>
      <c r="Z204" s="12"/>
      <c r="AA204" s="12"/>
      <c r="AB204" s="12"/>
      <c r="AC204" s="12"/>
      <c r="AD204" s="12"/>
      <c r="AE204" s="12"/>
    </row>
    <row r="205" spans="1:31" ht="11.25" customHeight="1">
      <c r="A205" s="567"/>
      <c r="B205" s="12"/>
      <c r="K205" s="12"/>
      <c r="N205" s="12"/>
      <c r="O205" s="12"/>
      <c r="P205" s="12"/>
      <c r="Q205" s="12"/>
      <c r="S205" s="12"/>
      <c r="T205" s="12"/>
      <c r="U205" s="12"/>
      <c r="V205" s="12"/>
      <c r="W205" s="12"/>
      <c r="X205" s="12"/>
      <c r="Y205" s="12"/>
      <c r="Z205" s="12"/>
      <c r="AA205" s="12"/>
      <c r="AB205" s="12"/>
      <c r="AC205" s="12"/>
      <c r="AD205" s="12"/>
      <c r="AE205" s="12"/>
    </row>
    <row r="206" spans="1:31" ht="11.25" customHeight="1">
      <c r="A206" s="567"/>
      <c r="B206" s="12"/>
      <c r="K206" s="12"/>
      <c r="N206" s="12"/>
      <c r="O206" s="12"/>
      <c r="P206" s="12"/>
      <c r="Q206" s="12"/>
      <c r="S206" s="12"/>
      <c r="T206" s="12"/>
      <c r="U206" s="12"/>
      <c r="V206" s="12"/>
      <c r="W206" s="12"/>
      <c r="X206" s="12"/>
      <c r="Y206" s="12"/>
      <c r="Z206" s="12"/>
      <c r="AA206" s="12"/>
      <c r="AB206" s="12"/>
      <c r="AC206" s="12"/>
      <c r="AD206" s="12"/>
      <c r="AE206" s="12"/>
    </row>
    <row r="207" spans="1:31" ht="11.25" customHeight="1">
      <c r="A207" s="567"/>
      <c r="B207" s="12"/>
      <c r="K207" s="12"/>
      <c r="N207" s="12"/>
      <c r="O207" s="12"/>
      <c r="P207" s="12"/>
      <c r="Q207" s="12"/>
      <c r="S207" s="12"/>
      <c r="T207" s="12"/>
      <c r="U207" s="12"/>
      <c r="V207" s="12"/>
      <c r="W207" s="12"/>
      <c r="X207" s="12"/>
      <c r="Y207" s="12"/>
      <c r="Z207" s="12"/>
      <c r="AA207" s="12"/>
      <c r="AB207" s="12"/>
      <c r="AC207" s="12"/>
      <c r="AD207" s="12"/>
      <c r="AE207" s="12"/>
    </row>
    <row r="208" spans="1:31" ht="11.25" customHeight="1">
      <c r="A208" s="567"/>
      <c r="B208" s="12"/>
      <c r="K208" s="12"/>
      <c r="N208" s="12"/>
      <c r="O208" s="12"/>
      <c r="P208" s="12"/>
      <c r="Q208" s="12"/>
      <c r="S208" s="12"/>
      <c r="T208" s="12"/>
      <c r="U208" s="12"/>
      <c r="V208" s="12"/>
      <c r="W208" s="12"/>
      <c r="X208" s="12"/>
      <c r="Y208" s="12"/>
      <c r="Z208" s="12"/>
      <c r="AA208" s="12"/>
      <c r="AB208" s="12"/>
      <c r="AC208" s="12"/>
      <c r="AD208" s="12"/>
      <c r="AE208" s="12"/>
    </row>
    <row r="209" spans="1:31" ht="11.25" customHeight="1">
      <c r="A209" s="567"/>
      <c r="B209" s="12"/>
      <c r="K209" s="12"/>
      <c r="N209" s="12"/>
      <c r="O209" s="12"/>
      <c r="P209" s="12"/>
      <c r="Q209" s="12"/>
      <c r="S209" s="12"/>
      <c r="T209" s="12"/>
      <c r="U209" s="12"/>
      <c r="V209" s="12"/>
      <c r="W209" s="12"/>
      <c r="X209" s="12"/>
      <c r="Y209" s="12"/>
      <c r="Z209" s="12"/>
      <c r="AA209" s="12"/>
      <c r="AB209" s="12"/>
      <c r="AC209" s="12"/>
      <c r="AD209" s="12"/>
      <c r="AE209" s="12"/>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3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3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3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3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3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61504-BDA8-07DA-9CFE-89E9164FCAE2}">
  <sheetPr>
    <tabColor theme="9" tint="-0.249977111117893"/>
  </sheetPr>
  <dimension ref="A1:Y101"/>
  <sheetViews>
    <sheetView showGridLines="0" topLeftCell="C2" zoomScale="90" workbookViewId="0">
      <selection activeCell="K33" sqref="K33"/>
    </sheetView>
  </sheetViews>
  <sheetFormatPr defaultColWidth="10.5703125" defaultRowHeight="11.25" customHeight="1"/>
  <cols>
    <col min="1" max="1" width="9.140625" style="301" hidden="1" customWidth="1"/>
    <col min="2" max="2" width="3.5703125" style="68" hidden="1" customWidth="1"/>
    <col min="3" max="3" width="3.7109375" style="12" customWidth="1"/>
    <col min="4" max="4" width="7.7109375" style="12" customWidth="1"/>
    <col min="5" max="5" width="69.85546875" style="12" customWidth="1"/>
    <col min="6" max="6" width="11.140625" style="12" customWidth="1"/>
    <col min="7" max="8" width="44" style="12" hidden="1" customWidth="1"/>
    <col min="9" max="12" width="44" style="12" customWidth="1"/>
    <col min="13" max="13" width="74" style="12" customWidth="1"/>
    <col min="14" max="14" width="3.7109375" style="12" customWidth="1"/>
    <col min="15" max="25" width="10.5703125" style="12"/>
  </cols>
  <sheetData>
    <row r="1" spans="1:14" s="63" customFormat="1" ht="11.25" hidden="1" customHeight="1">
      <c r="A1" s="301"/>
      <c r="B1" s="68"/>
      <c r="G1" s="63">
        <v>4</v>
      </c>
      <c r="I1" s="63">
        <v>4</v>
      </c>
      <c r="K1" s="63">
        <v>4</v>
      </c>
      <c r="M1" s="63">
        <v>5</v>
      </c>
    </row>
    <row r="2" spans="1:14" ht="3" customHeight="1"/>
    <row r="3" spans="1:14" ht="75" customHeight="1">
      <c r="D3" s="11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140"/>
      <c r="F3" s="1141"/>
    </row>
    <row r="4" spans="1:14" s="12" customFormat="1" ht="20.25" customHeight="1">
      <c r="A4" s="301"/>
      <c r="B4" s="68"/>
      <c r="D4" s="1229" t="str">
        <f>IF(org=0,"Не определено",org)</f>
        <v>АО "ХТК"</v>
      </c>
      <c r="E4" s="1230"/>
      <c r="F4" s="1231"/>
    </row>
    <row r="5" spans="1:14" ht="11.25" customHeight="1">
      <c r="H5" s="426"/>
      <c r="J5" s="426"/>
      <c r="L5" s="426"/>
    </row>
    <row r="6" spans="1:14" ht="0.75" customHeight="1">
      <c r="E6" s="59"/>
      <c r="F6" s="1"/>
      <c r="G6" s="588"/>
      <c r="H6" s="588"/>
      <c r="I6" s="588" t="s">
        <v>114</v>
      </c>
      <c r="J6" s="588"/>
      <c r="K6" s="588" t="s">
        <v>119</v>
      </c>
      <c r="L6" s="588"/>
    </row>
    <row r="7" spans="1:14" ht="11.25" customHeight="1">
      <c r="D7" s="400"/>
      <c r="E7" s="1347" t="s">
        <v>101</v>
      </c>
      <c r="F7" s="1348"/>
      <c r="G7" s="1369" t="str">
        <f>IF(G6="","",INDEX(DIFFERENTIATION_UNMERGE_VD,MATCH(G6,DIFFERENTIATION_ID_DIFF,0)))</f>
        <v/>
      </c>
      <c r="H7" s="1370"/>
      <c r="I7" s="1369" t="str">
        <f>IF(I6="","",INDEX(DIFFERENTIATION_UNMERGE_VD,MATCH(I6,DIFFERENTIATION_ID_DIFF,0)))</f>
        <v>Передача. Тепловая энергия</v>
      </c>
      <c r="J7" s="1370"/>
      <c r="K7" s="1369" t="str">
        <f>IF(K6="","",INDEX(DIFFERENTIATION_UNMERGE_VD,MATCH(K6,DIFFERENTIATION_ID_DIFF,0)))</f>
        <v>Передача. Тепловая энергия</v>
      </c>
      <c r="L7" s="1370"/>
      <c r="M7" s="1193"/>
    </row>
    <row r="8" spans="1:14" ht="11.25" customHeight="1">
      <c r="D8" s="400"/>
      <c r="E8" s="1347" t="s">
        <v>563</v>
      </c>
      <c r="F8" s="1348"/>
      <c r="G8" s="1369" t="str">
        <f>IF(G6="","",INDEX(DIFFERENTIATION_UNMERGE_AREA,MATCH(G6,DIFFERENTIATION_ID_DIFF,0)))</f>
        <v/>
      </c>
      <c r="H8" s="1370"/>
      <c r="I8" s="1369" t="str">
        <f>IF(I6="","",INDEX(DIFFERENTIATION_UNMERGE_AREA,MATCH(I6,DIFFERENTIATION_ID_DIFF,0)))</f>
        <v>Территория 1</v>
      </c>
      <c r="J8" s="1370"/>
      <c r="K8" s="1369" t="str">
        <f>IF(K6="","",INDEX(DIFFERENTIATION_UNMERGE_AREA,MATCH(K6,DIFFERENTIATION_ID_DIFF,0)))</f>
        <v>Территория 1</v>
      </c>
      <c r="L8" s="1370"/>
      <c r="M8" s="1214"/>
    </row>
    <row r="9" spans="1:14" ht="11.25" customHeight="1">
      <c r="D9" s="400"/>
      <c r="E9" s="1347" t="s">
        <v>564</v>
      </c>
      <c r="F9" s="1348"/>
      <c r="G9" s="1369" t="str">
        <f>IF(G6="","",INDEX(DIFFERENTIATION_UNMERGE_SYSTEM,MATCH(G6,DIFFERENTIATION_ID_DIFF,0)))</f>
        <v/>
      </c>
      <c r="H9" s="1370"/>
      <c r="I9" s="1369" t="str">
        <f>IF(I6="","",INDEX(DIFFERENTIATION_UNMERGE_SYSTEM,MATCH(I6,DIFFERENTIATION_ID_DIFF,0)))</f>
        <v>система теплоснабжения г. Кировск</v>
      </c>
      <c r="J9" s="1370"/>
      <c r="K9" s="1369" t="str">
        <f>IF(K6="","",INDEX(DIFFERENTIATION_UNMERGE_SYSTEM,MATCH(K6,DIFFERENTIATION_ID_DIFF,0)))</f>
        <v>система теплоснабжения н.п. Титан</v>
      </c>
      <c r="L9" s="1370"/>
      <c r="M9" s="1214"/>
    </row>
    <row r="10" spans="1:14" s="12" customFormat="1" ht="11.25" customHeight="1">
      <c r="A10" s="301"/>
      <c r="B10" s="68"/>
      <c r="D10" s="1117" t="s">
        <v>299</v>
      </c>
      <c r="E10" s="1122"/>
      <c r="F10" s="1122"/>
      <c r="G10" s="1122"/>
      <c r="H10" s="1122"/>
      <c r="I10" s="1122"/>
      <c r="J10" s="1116"/>
      <c r="K10" s="390"/>
      <c r="L10" s="390"/>
      <c r="M10" s="1214"/>
    </row>
    <row r="11" spans="1:14" s="12" customFormat="1" ht="22.5" customHeight="1">
      <c r="A11" s="1285"/>
      <c r="B11" s="1285"/>
      <c r="C11" s="5"/>
      <c r="D11" s="42" t="s">
        <v>84</v>
      </c>
      <c r="E11" s="42" t="s">
        <v>722</v>
      </c>
      <c r="F11" s="42" t="s">
        <v>565</v>
      </c>
      <c r="G11" s="42" t="s">
        <v>302</v>
      </c>
      <c r="H11" s="42" t="s">
        <v>389</v>
      </c>
      <c r="I11" s="42" t="s">
        <v>302</v>
      </c>
      <c r="J11" s="380" t="s">
        <v>389</v>
      </c>
      <c r="K11" s="42" t="s">
        <v>302</v>
      </c>
      <c r="L11" s="42" t="s">
        <v>389</v>
      </c>
      <c r="M11" s="1244"/>
      <c r="N11" s="364"/>
    </row>
    <row r="12" spans="1:14" s="68" customFormat="1" ht="10.5" customHeight="1">
      <c r="A12" s="311"/>
      <c r="D12" s="311" t="s">
        <v>105</v>
      </c>
      <c r="E12" s="311" t="s">
        <v>106</v>
      </c>
      <c r="F12" s="311" t="s">
        <v>86</v>
      </c>
      <c r="G12" s="120" t="str">
        <f>G1&amp;".1"</f>
        <v>4.1</v>
      </c>
      <c r="H12" s="120" t="str">
        <f>G1&amp;".2"</f>
        <v>4.2</v>
      </c>
      <c r="I12" s="120" t="str">
        <f>I1&amp;".1"</f>
        <v>4.1</v>
      </c>
      <c r="J12" s="120" t="str">
        <f>I1&amp;".2"</f>
        <v>4.2</v>
      </c>
      <c r="K12" s="120" t="str">
        <f>K1&amp;".1"</f>
        <v>4.1</v>
      </c>
      <c r="L12" s="120" t="str">
        <f>K1&amp;".2"</f>
        <v>4.2</v>
      </c>
      <c r="M12" s="120"/>
    </row>
    <row r="13" spans="1:14" ht="22.5" customHeight="1">
      <c r="A13" s="1368" t="s">
        <v>723</v>
      </c>
      <c r="D13" s="44" t="s">
        <v>105</v>
      </c>
      <c r="E13" s="151" t="s">
        <v>724</v>
      </c>
      <c r="F13" s="365" t="s">
        <v>725</v>
      </c>
      <c r="G13" s="319"/>
      <c r="H13" s="366"/>
      <c r="I13" s="319">
        <v>0</v>
      </c>
      <c r="J13" s="366" t="s">
        <v>726</v>
      </c>
      <c r="K13" s="319">
        <v>0</v>
      </c>
      <c r="L13" s="366" t="s">
        <v>726</v>
      </c>
      <c r="M13" s="67" t="s">
        <v>727</v>
      </c>
      <c r="N13" s="408"/>
    </row>
    <row r="14" spans="1:14" ht="22.5" customHeight="1">
      <c r="A14" s="1368"/>
      <c r="D14" s="44" t="s">
        <v>106</v>
      </c>
      <c r="E14" s="151" t="s">
        <v>728</v>
      </c>
      <c r="F14" s="365" t="s">
        <v>729</v>
      </c>
      <c r="G14" s="319"/>
      <c r="H14" s="366"/>
      <c r="I14" s="319">
        <v>0</v>
      </c>
      <c r="J14" s="366"/>
      <c r="K14" s="319">
        <v>0</v>
      </c>
      <c r="L14" s="366"/>
      <c r="M14" s="67" t="s">
        <v>730</v>
      </c>
      <c r="N14" s="408"/>
    </row>
    <row r="15" spans="1:14" s="12" customFormat="1" ht="78.75" customHeight="1">
      <c r="A15" s="1368"/>
      <c r="B15" s="68"/>
      <c r="D15" s="44" t="s">
        <v>86</v>
      </c>
      <c r="E15" s="151" t="s">
        <v>731</v>
      </c>
      <c r="F15" s="42" t="s">
        <v>305</v>
      </c>
      <c r="G15" s="42" t="s">
        <v>305</v>
      </c>
      <c r="H15" s="38"/>
      <c r="I15" s="42" t="s">
        <v>305</v>
      </c>
      <c r="J15" s="38"/>
      <c r="K15" s="42" t="s">
        <v>305</v>
      </c>
      <c r="L15" s="38"/>
      <c r="M15" s="67" t="s">
        <v>732</v>
      </c>
      <c r="N15" s="408"/>
    </row>
    <row r="16" spans="1:14" s="12" customFormat="1" ht="22.5" customHeight="1">
      <c r="A16" s="1368"/>
      <c r="B16" s="68"/>
      <c r="D16" s="44" t="s">
        <v>323</v>
      </c>
      <c r="E16" s="321" t="s">
        <v>733</v>
      </c>
      <c r="F16" s="42" t="s">
        <v>734</v>
      </c>
      <c r="G16" s="459"/>
      <c r="H16" s="38"/>
      <c r="I16" s="459"/>
      <c r="J16" s="38"/>
      <c r="K16" s="459"/>
      <c r="L16" s="38"/>
      <c r="M16" s="67"/>
      <c r="N16" s="408"/>
    </row>
    <row r="17" spans="1:25" s="12" customFormat="1" ht="22.5" customHeight="1">
      <c r="A17" s="1368"/>
      <c r="B17" s="68"/>
      <c r="D17" s="44" t="s">
        <v>331</v>
      </c>
      <c r="E17" s="321" t="s">
        <v>735</v>
      </c>
      <c r="F17" s="42" t="s">
        <v>736</v>
      </c>
      <c r="G17" s="459"/>
      <c r="H17" s="38"/>
      <c r="I17" s="459"/>
      <c r="J17" s="38"/>
      <c r="K17" s="459"/>
      <c r="L17" s="38"/>
      <c r="M17" s="67"/>
      <c r="N17" s="408"/>
    </row>
    <row r="18" spans="1:25" s="12" customFormat="1" ht="33.75" customHeight="1">
      <c r="A18" s="1368"/>
      <c r="B18" s="68"/>
      <c r="D18" s="44" t="s">
        <v>333</v>
      </c>
      <c r="E18" s="321" t="s">
        <v>737</v>
      </c>
      <c r="F18" s="42" t="s">
        <v>570</v>
      </c>
      <c r="G18" s="377"/>
      <c r="H18" s="38"/>
      <c r="I18" s="377"/>
      <c r="J18" s="38"/>
      <c r="K18" s="377"/>
      <c r="L18" s="38"/>
      <c r="M18" s="67"/>
      <c r="N18" s="408"/>
    </row>
    <row r="19" spans="1:25" ht="101.25" customHeight="1">
      <c r="A19" s="1368"/>
      <c r="D19" s="44" t="s">
        <v>87</v>
      </c>
      <c r="E19" s="151" t="s">
        <v>738</v>
      </c>
      <c r="F19" s="365" t="s">
        <v>545</v>
      </c>
      <c r="G19" s="215"/>
      <c r="H19" s="366"/>
      <c r="I19" s="215" t="s">
        <v>739</v>
      </c>
      <c r="J19" s="366"/>
      <c r="K19" s="215" t="s">
        <v>739</v>
      </c>
      <c r="L19" s="366"/>
      <c r="M19" s="67" t="s">
        <v>740</v>
      </c>
      <c r="N19" s="408"/>
    </row>
    <row r="20" spans="1:25" s="12" customFormat="1" ht="18.75" customHeight="1">
      <c r="A20" s="1368"/>
      <c r="C20" s="76"/>
      <c r="D20" s="44" t="s">
        <v>668</v>
      </c>
      <c r="E20" s="321" t="s">
        <v>741</v>
      </c>
      <c r="F20" s="42" t="s">
        <v>305</v>
      </c>
      <c r="G20" s="42" t="s">
        <v>305</v>
      </c>
      <c r="H20" s="332" t="s">
        <v>305</v>
      </c>
      <c r="I20" s="42" t="s">
        <v>305</v>
      </c>
      <c r="J20" s="332" t="s">
        <v>305</v>
      </c>
      <c r="K20" s="42" t="s">
        <v>305</v>
      </c>
      <c r="L20" s="332" t="s">
        <v>305</v>
      </c>
      <c r="M20" s="380"/>
      <c r="N20" s="408"/>
      <c r="Y20" s="300"/>
    </row>
    <row r="21" spans="1:25" s="12" customFormat="1" ht="33.75" customHeight="1">
      <c r="A21" s="1368"/>
      <c r="C21" s="76"/>
      <c r="D21" s="44" t="s">
        <v>671</v>
      </c>
      <c r="E21" s="330" t="s">
        <v>742</v>
      </c>
      <c r="F21" s="42" t="s">
        <v>743</v>
      </c>
      <c r="G21" s="534"/>
      <c r="H21" s="38"/>
      <c r="I21" s="534"/>
      <c r="J21" s="38"/>
      <c r="K21" s="534"/>
      <c r="L21" s="38"/>
      <c r="M21" s="380"/>
      <c r="N21" s="408"/>
      <c r="Y21" s="300"/>
    </row>
    <row r="22" spans="1:25" s="12" customFormat="1" ht="33.75" customHeight="1">
      <c r="A22" s="1368"/>
      <c r="C22" s="76"/>
      <c r="D22" s="44" t="s">
        <v>674</v>
      </c>
      <c r="E22" s="330" t="s">
        <v>744</v>
      </c>
      <c r="F22" s="42" t="s">
        <v>745</v>
      </c>
      <c r="G22" s="534"/>
      <c r="H22" s="38"/>
      <c r="I22" s="534"/>
      <c r="J22" s="38"/>
      <c r="K22" s="534"/>
      <c r="L22" s="38"/>
      <c r="M22" s="380"/>
      <c r="N22" s="408"/>
      <c r="Y22" s="300"/>
    </row>
    <row r="23" spans="1:25" s="12" customFormat="1" ht="22.5" customHeight="1">
      <c r="A23" s="1368"/>
      <c r="C23" s="76"/>
      <c r="D23" s="44" t="s">
        <v>711</v>
      </c>
      <c r="E23" s="321" t="s">
        <v>746</v>
      </c>
      <c r="F23" s="42" t="s">
        <v>305</v>
      </c>
      <c r="G23" s="42" t="s">
        <v>305</v>
      </c>
      <c r="H23" s="332" t="s">
        <v>305</v>
      </c>
      <c r="I23" s="42" t="s">
        <v>305</v>
      </c>
      <c r="J23" s="332" t="s">
        <v>305</v>
      </c>
      <c r="K23" s="42" t="s">
        <v>305</v>
      </c>
      <c r="L23" s="332" t="s">
        <v>305</v>
      </c>
      <c r="M23" s="380"/>
      <c r="N23" s="408"/>
      <c r="Y23" s="300"/>
    </row>
    <row r="24" spans="1:25" s="12" customFormat="1" ht="22.5" customHeight="1">
      <c r="A24" s="1368"/>
      <c r="C24" s="76"/>
      <c r="D24" s="44" t="s">
        <v>747</v>
      </c>
      <c r="E24" s="330" t="s">
        <v>748</v>
      </c>
      <c r="F24" s="42" t="s">
        <v>749</v>
      </c>
      <c r="G24" s="534"/>
      <c r="H24" s="382"/>
      <c r="I24" s="534"/>
      <c r="J24" s="382"/>
      <c r="K24" s="534"/>
      <c r="L24" s="382"/>
      <c r="M24" s="380"/>
      <c r="N24" s="408"/>
      <c r="Y24" s="300"/>
    </row>
    <row r="25" spans="1:25" s="12" customFormat="1" ht="22.5" customHeight="1">
      <c r="A25" s="1368"/>
      <c r="C25" s="76"/>
      <c r="D25" s="44" t="s">
        <v>750</v>
      </c>
      <c r="E25" s="330" t="s">
        <v>751</v>
      </c>
      <c r="F25" s="42" t="s">
        <v>305</v>
      </c>
      <c r="G25" s="42" t="s">
        <v>305</v>
      </c>
      <c r="H25" s="332" t="s">
        <v>305</v>
      </c>
      <c r="I25" s="42" t="s">
        <v>305</v>
      </c>
      <c r="J25" s="332" t="s">
        <v>305</v>
      </c>
      <c r="K25" s="42" t="s">
        <v>305</v>
      </c>
      <c r="L25" s="332" t="s">
        <v>305</v>
      </c>
      <c r="M25" s="380"/>
      <c r="N25" s="408"/>
      <c r="Y25" s="300"/>
    </row>
    <row r="26" spans="1:25" s="12" customFormat="1" ht="18.75" customHeight="1">
      <c r="A26" s="1368"/>
      <c r="C26" s="76"/>
      <c r="D26" s="44" t="s">
        <v>752</v>
      </c>
      <c r="E26" s="316" t="s">
        <v>753</v>
      </c>
      <c r="F26" s="42" t="s">
        <v>754</v>
      </c>
      <c r="G26" s="377"/>
      <c r="H26" s="382"/>
      <c r="I26" s="377"/>
      <c r="J26" s="382"/>
      <c r="K26" s="377"/>
      <c r="L26" s="382"/>
      <c r="M26" s="380"/>
      <c r="N26" s="408"/>
      <c r="Y26" s="300"/>
    </row>
    <row r="27" spans="1:25" s="12" customFormat="1" ht="18.75" customHeight="1">
      <c r="A27" s="1368"/>
      <c r="C27" s="76"/>
      <c r="D27" s="44" t="s">
        <v>755</v>
      </c>
      <c r="E27" s="316" t="s">
        <v>756</v>
      </c>
      <c r="F27" s="42" t="s">
        <v>757</v>
      </c>
      <c r="G27" s="377"/>
      <c r="H27" s="382"/>
      <c r="I27" s="377"/>
      <c r="J27" s="382"/>
      <c r="K27" s="377"/>
      <c r="L27" s="382"/>
      <c r="M27" s="380"/>
      <c r="N27" s="408"/>
      <c r="Y27" s="300"/>
    </row>
    <row r="28" spans="1:25" s="12" customFormat="1" ht="18.75" customHeight="1">
      <c r="A28" s="1368"/>
      <c r="C28" s="76"/>
      <c r="D28" s="44" t="s">
        <v>758</v>
      </c>
      <c r="E28" s="330" t="s">
        <v>759</v>
      </c>
      <c r="F28" s="42" t="s">
        <v>305</v>
      </c>
      <c r="G28" s="42" t="s">
        <v>305</v>
      </c>
      <c r="H28" s="332" t="s">
        <v>305</v>
      </c>
      <c r="I28" s="42" t="s">
        <v>305</v>
      </c>
      <c r="J28" s="332" t="s">
        <v>305</v>
      </c>
      <c r="K28" s="42" t="s">
        <v>305</v>
      </c>
      <c r="L28" s="332" t="s">
        <v>305</v>
      </c>
      <c r="M28" s="380"/>
      <c r="N28" s="408"/>
      <c r="Y28" s="300"/>
    </row>
    <row r="29" spans="1:25" s="12" customFormat="1" ht="18.75" customHeight="1">
      <c r="A29" s="1368"/>
      <c r="C29" s="76"/>
      <c r="D29" s="44" t="s">
        <v>760</v>
      </c>
      <c r="E29" s="316" t="s">
        <v>753</v>
      </c>
      <c r="F29" s="42" t="s">
        <v>761</v>
      </c>
      <c r="G29" s="377"/>
      <c r="H29" s="382"/>
      <c r="I29" s="377"/>
      <c r="J29" s="382"/>
      <c r="K29" s="377"/>
      <c r="L29" s="382"/>
      <c r="M29" s="380"/>
      <c r="N29" s="408"/>
      <c r="Y29" s="300"/>
    </row>
    <row r="30" spans="1:25" s="12" customFormat="1" ht="18.75" customHeight="1">
      <c r="A30" s="1368"/>
      <c r="C30" s="76"/>
      <c r="D30" s="44" t="s">
        <v>762</v>
      </c>
      <c r="E30" s="316" t="s">
        <v>763</v>
      </c>
      <c r="F30" s="42" t="s">
        <v>764</v>
      </c>
      <c r="G30" s="377"/>
      <c r="H30" s="382"/>
      <c r="I30" s="377"/>
      <c r="J30" s="382"/>
      <c r="K30" s="377"/>
      <c r="L30" s="382"/>
      <c r="M30" s="380"/>
      <c r="N30" s="408"/>
      <c r="Y30" s="300"/>
    </row>
    <row r="31" spans="1:25" ht="126.75" customHeight="1">
      <c r="A31" s="1368"/>
      <c r="D31" s="44" t="s">
        <v>107</v>
      </c>
      <c r="E31" s="151" t="s">
        <v>765</v>
      </c>
      <c r="F31" s="365" t="s">
        <v>557</v>
      </c>
      <c r="G31" s="319"/>
      <c r="H31" s="366"/>
      <c r="I31" s="319">
        <v>0</v>
      </c>
      <c r="J31" s="366"/>
      <c r="K31" s="319">
        <v>0</v>
      </c>
      <c r="L31" s="366"/>
      <c r="M31" s="67" t="s">
        <v>766</v>
      </c>
      <c r="N31" s="408"/>
    </row>
    <row r="32" spans="1:25" ht="56.25" customHeight="1">
      <c r="A32" s="1368"/>
      <c r="D32" s="44" t="s">
        <v>88</v>
      </c>
      <c r="E32" s="151" t="s">
        <v>767</v>
      </c>
      <c r="F32" s="44" t="s">
        <v>736</v>
      </c>
      <c r="G32" s="319"/>
      <c r="H32" s="366"/>
      <c r="I32" s="319">
        <v>0</v>
      </c>
      <c r="J32" s="366"/>
      <c r="K32" s="319">
        <v>0</v>
      </c>
      <c r="L32" s="366"/>
      <c r="M32" s="67" t="s">
        <v>768</v>
      </c>
      <c r="N32" s="408"/>
    </row>
    <row r="33" spans="1:13" ht="11.25" customHeight="1">
      <c r="A33" s="1368"/>
      <c r="E33" s="367"/>
      <c r="F33" s="91"/>
      <c r="G33" s="91"/>
      <c r="H33" s="91"/>
      <c r="I33" s="91"/>
      <c r="J33" s="91"/>
      <c r="K33" s="91"/>
      <c r="L33" s="91"/>
      <c r="M33" s="91"/>
    </row>
    <row r="34" spans="1:13" ht="12.75" customHeight="1">
      <c r="A34" s="1368"/>
      <c r="D34" s="5">
        <v>1</v>
      </c>
      <c r="E34" s="195" t="s">
        <v>769</v>
      </c>
    </row>
    <row r="35" spans="1:13" ht="11.25" customHeight="1">
      <c r="A35" s="1368"/>
      <c r="D35" s="5"/>
      <c r="E35" s="195" t="s">
        <v>770</v>
      </c>
    </row>
    <row r="36" spans="1:13" s="12" customFormat="1" ht="11.25" customHeight="1">
      <c r="A36" s="301"/>
      <c r="B36" s="68"/>
      <c r="D36" s="5"/>
      <c r="E36" s="195"/>
    </row>
    <row r="37" spans="1:13" s="12" customFormat="1" ht="22.5" hidden="1" customHeight="1">
      <c r="A37" s="1368" t="s">
        <v>771</v>
      </c>
      <c r="B37" s="68"/>
      <c r="D37" s="44">
        <v>1</v>
      </c>
      <c r="E37" s="151" t="s">
        <v>772</v>
      </c>
      <c r="F37" s="365" t="s">
        <v>725</v>
      </c>
      <c r="G37" s="319"/>
      <c r="H37" s="293"/>
      <c r="I37" s="319"/>
      <c r="J37" s="293"/>
      <c r="K37" s="319"/>
      <c r="L37" s="293"/>
      <c r="M37" s="67" t="s">
        <v>773</v>
      </c>
    </row>
    <row r="38" spans="1:13" s="12" customFormat="1" ht="22.5" hidden="1" customHeight="1">
      <c r="A38" s="1368"/>
      <c r="B38" s="68"/>
      <c r="D38" s="372" t="s">
        <v>106</v>
      </c>
      <c r="E38" s="596" t="s">
        <v>774</v>
      </c>
      <c r="F38" s="597" t="s">
        <v>545</v>
      </c>
      <c r="G38" s="597" t="s">
        <v>545</v>
      </c>
      <c r="H38" s="594"/>
      <c r="I38" s="597" t="s">
        <v>545</v>
      </c>
      <c r="J38" s="594"/>
      <c r="K38" s="597" t="s">
        <v>545</v>
      </c>
      <c r="L38" s="594"/>
      <c r="M38" s="595"/>
    </row>
    <row r="39" spans="1:13" s="12" customFormat="1" ht="33.75" hidden="1" customHeight="1">
      <c r="A39" s="1368"/>
      <c r="B39" s="68"/>
      <c r="D39" s="368" t="s">
        <v>626</v>
      </c>
      <c r="E39" s="411" t="s">
        <v>775</v>
      </c>
      <c r="F39" s="365" t="s">
        <v>776</v>
      </c>
      <c r="G39" s="371"/>
      <c r="H39" s="589"/>
      <c r="I39" s="371"/>
      <c r="J39" s="589"/>
      <c r="K39" s="371"/>
      <c r="L39" s="589"/>
      <c r="M39" s="67" t="s">
        <v>777</v>
      </c>
    </row>
    <row r="40" spans="1:13" s="12" customFormat="1" ht="33.75" hidden="1" customHeight="1">
      <c r="A40" s="1368"/>
      <c r="B40" s="68"/>
      <c r="D40" s="368" t="s">
        <v>629</v>
      </c>
      <c r="E40" s="411" t="s">
        <v>778</v>
      </c>
      <c r="F40" s="591" t="s">
        <v>779</v>
      </c>
      <c r="G40" s="420"/>
      <c r="H40" s="589"/>
      <c r="I40" s="420"/>
      <c r="J40" s="589"/>
      <c r="K40" s="420"/>
      <c r="L40" s="589"/>
      <c r="M40" s="67" t="s">
        <v>780</v>
      </c>
    </row>
    <row r="41" spans="1:13" s="12" customFormat="1" ht="22.5" hidden="1" customHeight="1">
      <c r="A41" s="1368"/>
      <c r="B41" s="68"/>
      <c r="D41" s="368" t="s">
        <v>86</v>
      </c>
      <c r="E41" s="410" t="s">
        <v>781</v>
      </c>
      <c r="F41" s="365" t="s">
        <v>545</v>
      </c>
      <c r="G41" s="365" t="s">
        <v>545</v>
      </c>
      <c r="H41" s="590"/>
      <c r="I41" s="365" t="s">
        <v>545</v>
      </c>
      <c r="J41" s="590"/>
      <c r="K41" s="365" t="s">
        <v>545</v>
      </c>
      <c r="L41" s="590"/>
      <c r="M41" s="171"/>
    </row>
    <row r="42" spans="1:13" s="12" customFormat="1" ht="45" hidden="1" customHeight="1">
      <c r="A42" s="1368"/>
      <c r="B42" s="68"/>
      <c r="D42" s="368" t="s">
        <v>323</v>
      </c>
      <c r="E42" s="411" t="s">
        <v>782</v>
      </c>
      <c r="F42" s="365" t="s">
        <v>557</v>
      </c>
      <c r="G42" s="319"/>
      <c r="H42" s="590"/>
      <c r="I42" s="319"/>
      <c r="J42" s="590"/>
      <c r="K42" s="319"/>
      <c r="L42" s="590"/>
      <c r="M42" s="171" t="s">
        <v>783</v>
      </c>
    </row>
    <row r="43" spans="1:13" s="12" customFormat="1" ht="45" hidden="1" customHeight="1">
      <c r="A43" s="1368"/>
      <c r="B43" s="68"/>
      <c r="D43" s="368" t="s">
        <v>331</v>
      </c>
      <c r="E43" s="370" t="s">
        <v>784</v>
      </c>
      <c r="F43" s="592" t="s">
        <v>557</v>
      </c>
      <c r="G43" s="421"/>
      <c r="H43" s="589"/>
      <c r="I43" s="421"/>
      <c r="J43" s="589"/>
      <c r="K43" s="421"/>
      <c r="L43" s="589"/>
      <c r="M43" s="171" t="s">
        <v>785</v>
      </c>
    </row>
    <row r="44" spans="1:13" s="12" customFormat="1" ht="11.25" hidden="1" customHeight="1">
      <c r="A44" s="1368"/>
      <c r="B44" s="68"/>
      <c r="D44" s="368" t="s">
        <v>87</v>
      </c>
      <c r="E44" s="369" t="s">
        <v>786</v>
      </c>
      <c r="F44" s="365" t="s">
        <v>776</v>
      </c>
      <c r="G44" s="371"/>
      <c r="H44" s="589"/>
      <c r="I44" s="371"/>
      <c r="J44" s="589"/>
      <c r="K44" s="371"/>
      <c r="L44" s="589"/>
      <c r="M44" s="67"/>
    </row>
    <row r="45" spans="1:13" s="12" customFormat="1" ht="11.25" hidden="1" customHeight="1">
      <c r="A45" s="1368"/>
      <c r="B45" s="68"/>
      <c r="D45" s="368" t="s">
        <v>668</v>
      </c>
      <c r="E45" s="370" t="s">
        <v>787</v>
      </c>
      <c r="F45" s="365" t="s">
        <v>776</v>
      </c>
      <c r="G45" s="371"/>
      <c r="H45" s="589"/>
      <c r="I45" s="371"/>
      <c r="J45" s="589"/>
      <c r="K45" s="371"/>
      <c r="L45" s="589"/>
      <c r="M45" s="67"/>
    </row>
    <row r="46" spans="1:13" s="12" customFormat="1" ht="11.25" hidden="1" customHeight="1">
      <c r="A46" s="1368"/>
      <c r="B46" s="68"/>
      <c r="D46" s="368" t="s">
        <v>711</v>
      </c>
      <c r="E46" s="370" t="s">
        <v>788</v>
      </c>
      <c r="F46" s="365" t="s">
        <v>776</v>
      </c>
      <c r="G46" s="371"/>
      <c r="H46" s="589"/>
      <c r="I46" s="371"/>
      <c r="J46" s="589"/>
      <c r="K46" s="371"/>
      <c r="L46" s="589"/>
      <c r="M46" s="67"/>
    </row>
    <row r="47" spans="1:13" s="12" customFormat="1" ht="11.25" hidden="1" customHeight="1">
      <c r="A47" s="1368"/>
      <c r="B47" s="68"/>
      <c r="D47" s="368" t="s">
        <v>714</v>
      </c>
      <c r="E47" s="370" t="s">
        <v>789</v>
      </c>
      <c r="F47" s="365" t="s">
        <v>776</v>
      </c>
      <c r="G47" s="371"/>
      <c r="H47" s="589"/>
      <c r="I47" s="371"/>
      <c r="J47" s="589"/>
      <c r="K47" s="371"/>
      <c r="L47" s="589"/>
      <c r="M47" s="67"/>
    </row>
    <row r="48" spans="1:13" s="12" customFormat="1" ht="11.25" hidden="1" customHeight="1">
      <c r="A48" s="1368"/>
      <c r="B48" s="68"/>
      <c r="D48" s="368" t="s">
        <v>790</v>
      </c>
      <c r="E48" s="373" t="s">
        <v>791</v>
      </c>
      <c r="F48" s="365" t="s">
        <v>776</v>
      </c>
      <c r="G48" s="371"/>
      <c r="H48" s="589"/>
      <c r="I48" s="371"/>
      <c r="J48" s="589"/>
      <c r="K48" s="371"/>
      <c r="L48" s="589"/>
      <c r="M48" s="67"/>
    </row>
    <row r="49" spans="1:13" s="12" customFormat="1" ht="11.25" hidden="1" customHeight="1">
      <c r="A49" s="1368"/>
      <c r="B49" s="68"/>
      <c r="D49" s="368" t="s">
        <v>792</v>
      </c>
      <c r="E49" s="373" t="s">
        <v>793</v>
      </c>
      <c r="F49" s="365" t="s">
        <v>776</v>
      </c>
      <c r="G49" s="371"/>
      <c r="H49" s="589"/>
      <c r="I49" s="371"/>
      <c r="J49" s="589"/>
      <c r="K49" s="371"/>
      <c r="L49" s="589"/>
      <c r="M49" s="67"/>
    </row>
    <row r="50" spans="1:13" s="12" customFormat="1" ht="11.25" hidden="1" customHeight="1">
      <c r="A50" s="1368"/>
      <c r="B50" s="68"/>
      <c r="D50" s="368" t="s">
        <v>794</v>
      </c>
      <c r="E50" s="370" t="s">
        <v>795</v>
      </c>
      <c r="F50" s="365" t="s">
        <v>776</v>
      </c>
      <c r="G50" s="371"/>
      <c r="H50" s="589"/>
      <c r="I50" s="371"/>
      <c r="J50" s="589"/>
      <c r="K50" s="371"/>
      <c r="L50" s="589"/>
      <c r="M50" s="67"/>
    </row>
    <row r="51" spans="1:13" s="12" customFormat="1" ht="11.25" hidden="1" customHeight="1">
      <c r="A51" s="1368"/>
      <c r="B51" s="68"/>
      <c r="D51" s="368" t="s">
        <v>796</v>
      </c>
      <c r="E51" s="370" t="s">
        <v>797</v>
      </c>
      <c r="F51" s="365" t="s">
        <v>776</v>
      </c>
      <c r="G51" s="371"/>
      <c r="H51" s="589"/>
      <c r="I51" s="371"/>
      <c r="J51" s="589"/>
      <c r="K51" s="371"/>
      <c r="L51" s="589"/>
      <c r="M51" s="67"/>
    </row>
    <row r="52" spans="1:13" s="12" customFormat="1" ht="45" hidden="1" customHeight="1">
      <c r="A52" s="1368"/>
      <c r="B52" s="68"/>
      <c r="D52" s="368" t="s">
        <v>107</v>
      </c>
      <c r="E52" s="369" t="s">
        <v>798</v>
      </c>
      <c r="F52" s="365" t="s">
        <v>776</v>
      </c>
      <c r="G52" s="371"/>
      <c r="H52" s="589"/>
      <c r="I52" s="371"/>
      <c r="J52" s="589"/>
      <c r="K52" s="371"/>
      <c r="L52" s="589"/>
      <c r="M52" s="67"/>
    </row>
    <row r="53" spans="1:13" s="12" customFormat="1" ht="11.25" hidden="1" customHeight="1">
      <c r="A53" s="1368"/>
      <c r="B53" s="68"/>
      <c r="D53" s="368" t="s">
        <v>312</v>
      </c>
      <c r="E53" s="370" t="s">
        <v>787</v>
      </c>
      <c r="F53" s="365" t="s">
        <v>776</v>
      </c>
      <c r="G53" s="371"/>
      <c r="H53" s="589"/>
      <c r="I53" s="371"/>
      <c r="J53" s="589"/>
      <c r="K53" s="371"/>
      <c r="L53" s="589"/>
      <c r="M53" s="67"/>
    </row>
    <row r="54" spans="1:13" s="12" customFormat="1" ht="11.25" hidden="1" customHeight="1">
      <c r="A54" s="1368"/>
      <c r="B54" s="68"/>
      <c r="D54" s="368" t="s">
        <v>799</v>
      </c>
      <c r="E54" s="370" t="s">
        <v>788</v>
      </c>
      <c r="F54" s="365" t="s">
        <v>776</v>
      </c>
      <c r="G54" s="371"/>
      <c r="H54" s="589"/>
      <c r="I54" s="371"/>
      <c r="J54" s="589"/>
      <c r="K54" s="371"/>
      <c r="L54" s="589"/>
      <c r="M54" s="67"/>
    </row>
    <row r="55" spans="1:13" s="12" customFormat="1" ht="11.25" hidden="1" customHeight="1">
      <c r="A55" s="1368"/>
      <c r="B55" s="68"/>
      <c r="D55" s="368" t="s">
        <v>800</v>
      </c>
      <c r="E55" s="370" t="s">
        <v>789</v>
      </c>
      <c r="F55" s="365" t="s">
        <v>776</v>
      </c>
      <c r="G55" s="371"/>
      <c r="H55" s="589"/>
      <c r="I55" s="371"/>
      <c r="J55" s="589"/>
      <c r="K55" s="371"/>
      <c r="L55" s="589"/>
      <c r="M55" s="67"/>
    </row>
    <row r="56" spans="1:13" s="12" customFormat="1" ht="11.25" hidden="1" customHeight="1">
      <c r="A56" s="1368"/>
      <c r="B56" s="68"/>
      <c r="D56" s="368" t="s">
        <v>801</v>
      </c>
      <c r="E56" s="373" t="s">
        <v>791</v>
      </c>
      <c r="F56" s="365" t="s">
        <v>776</v>
      </c>
      <c r="G56" s="371"/>
      <c r="H56" s="589"/>
      <c r="I56" s="371"/>
      <c r="J56" s="589"/>
      <c r="K56" s="371"/>
      <c r="L56" s="589"/>
      <c r="M56" s="67"/>
    </row>
    <row r="57" spans="1:13" s="12" customFormat="1" ht="11.25" hidden="1" customHeight="1">
      <c r="A57" s="1368"/>
      <c r="B57" s="68"/>
      <c r="D57" s="368" t="s">
        <v>802</v>
      </c>
      <c r="E57" s="373" t="s">
        <v>793</v>
      </c>
      <c r="F57" s="365" t="s">
        <v>776</v>
      </c>
      <c r="G57" s="371"/>
      <c r="H57" s="589"/>
      <c r="I57" s="371"/>
      <c r="J57" s="589"/>
      <c r="K57" s="371"/>
      <c r="L57" s="589"/>
      <c r="M57" s="67"/>
    </row>
    <row r="58" spans="1:13" s="12" customFormat="1" ht="11.25" hidden="1" customHeight="1">
      <c r="A58" s="1368"/>
      <c r="B58" s="68"/>
      <c r="D58" s="368" t="s">
        <v>803</v>
      </c>
      <c r="E58" s="370" t="s">
        <v>795</v>
      </c>
      <c r="F58" s="365" t="s">
        <v>776</v>
      </c>
      <c r="G58" s="371"/>
      <c r="H58" s="589"/>
      <c r="I58" s="371"/>
      <c r="J58" s="589"/>
      <c r="K58" s="371"/>
      <c r="L58" s="589"/>
      <c r="M58" s="67"/>
    </row>
    <row r="59" spans="1:13" s="12" customFormat="1" ht="11.25" hidden="1" customHeight="1">
      <c r="A59" s="1368"/>
      <c r="B59" s="68"/>
      <c r="D59" s="368" t="s">
        <v>804</v>
      </c>
      <c r="E59" s="370" t="s">
        <v>797</v>
      </c>
      <c r="F59" s="365" t="s">
        <v>776</v>
      </c>
      <c r="G59" s="371"/>
      <c r="H59" s="589"/>
      <c r="I59" s="371"/>
      <c r="J59" s="589"/>
      <c r="K59" s="371"/>
      <c r="L59" s="589"/>
      <c r="M59" s="67"/>
    </row>
    <row r="60" spans="1:13" s="12" customFormat="1" ht="33.75" hidden="1" customHeight="1">
      <c r="A60" s="1368"/>
      <c r="B60" s="68"/>
      <c r="D60" s="368" t="s">
        <v>88</v>
      </c>
      <c r="E60" s="369" t="s">
        <v>805</v>
      </c>
      <c r="F60" s="409" t="s">
        <v>557</v>
      </c>
      <c r="G60" s="421"/>
      <c r="H60" s="589"/>
      <c r="I60" s="421"/>
      <c r="J60" s="589"/>
      <c r="K60" s="421"/>
      <c r="L60" s="589"/>
      <c r="M60" s="171" t="s">
        <v>806</v>
      </c>
    </row>
    <row r="61" spans="1:13" s="12" customFormat="1" ht="33.75" hidden="1" customHeight="1">
      <c r="A61" s="1368"/>
      <c r="B61" s="68"/>
      <c r="D61" s="368" t="s">
        <v>89</v>
      </c>
      <c r="E61" s="369" t="s">
        <v>807</v>
      </c>
      <c r="F61" s="414" t="s">
        <v>736</v>
      </c>
      <c r="G61" s="371"/>
      <c r="H61" s="589"/>
      <c r="I61" s="371"/>
      <c r="J61" s="589"/>
      <c r="K61" s="371"/>
      <c r="L61" s="589"/>
      <c r="M61" s="67"/>
    </row>
    <row r="62" spans="1:13" s="12" customFormat="1" ht="22.5" hidden="1" customHeight="1">
      <c r="A62" s="1368"/>
      <c r="B62" s="68" t="s">
        <v>580</v>
      </c>
      <c r="D62" s="368" t="s">
        <v>108</v>
      </c>
      <c r="E62" s="369" t="s">
        <v>808</v>
      </c>
      <c r="F62" s="414" t="s">
        <v>305</v>
      </c>
      <c r="G62" s="115"/>
      <c r="H62" s="589"/>
      <c r="I62" s="115"/>
      <c r="J62" s="589"/>
      <c r="K62" s="115"/>
      <c r="L62" s="589"/>
      <c r="M62" s="67" t="s">
        <v>809</v>
      </c>
    </row>
    <row r="63" spans="1:13" s="12" customFormat="1" ht="45" hidden="1" customHeight="1">
      <c r="A63" s="1368"/>
      <c r="B63" s="68" t="s">
        <v>580</v>
      </c>
      <c r="D63" s="368" t="s">
        <v>810</v>
      </c>
      <c r="E63" s="370" t="s">
        <v>811</v>
      </c>
      <c r="F63" s="409" t="s">
        <v>305</v>
      </c>
      <c r="G63" s="115"/>
      <c r="H63" s="589"/>
      <c r="I63" s="115"/>
      <c r="J63" s="589"/>
      <c r="K63" s="115"/>
      <c r="L63" s="589"/>
      <c r="M63" s="67" t="s">
        <v>809</v>
      </c>
    </row>
    <row r="64" spans="1:13" s="12" customFormat="1" ht="11.25" customHeight="1">
      <c r="A64" s="301"/>
      <c r="B64" s="68"/>
      <c r="D64" s="5"/>
      <c r="E64" s="195"/>
    </row>
    <row r="65" spans="1:13" s="12" customFormat="1" ht="22.5" hidden="1" customHeight="1">
      <c r="A65" s="1368" t="s">
        <v>812</v>
      </c>
      <c r="B65" s="68"/>
      <c r="D65" s="368">
        <v>1</v>
      </c>
      <c r="E65" s="423" t="s">
        <v>813</v>
      </c>
      <c r="F65" s="419" t="s">
        <v>725</v>
      </c>
      <c r="G65" s="420"/>
      <c r="H65" s="593"/>
      <c r="I65" s="420"/>
      <c r="J65" s="593"/>
      <c r="K65" s="420"/>
      <c r="L65" s="593"/>
      <c r="M65" s="170" t="s">
        <v>814</v>
      </c>
    </row>
    <row r="66" spans="1:13" s="12" customFormat="1" ht="56.25" hidden="1" customHeight="1">
      <c r="A66" s="1368"/>
      <c r="B66" s="68"/>
      <c r="D66" s="422" t="s">
        <v>106</v>
      </c>
      <c r="E66" s="151" t="s">
        <v>815</v>
      </c>
      <c r="F66" s="365" t="s">
        <v>545</v>
      </c>
      <c r="G66" s="365" t="s">
        <v>545</v>
      </c>
      <c r="H66" s="293"/>
      <c r="I66" s="365" t="s">
        <v>545</v>
      </c>
      <c r="J66" s="293"/>
      <c r="K66" s="365" t="s">
        <v>545</v>
      </c>
      <c r="L66" s="293"/>
      <c r="M66" s="67"/>
    </row>
    <row r="67" spans="1:13" s="12" customFormat="1" ht="33.75" hidden="1" customHeight="1">
      <c r="A67" s="1368"/>
      <c r="B67" s="68"/>
      <c r="D67" s="422" t="s">
        <v>623</v>
      </c>
      <c r="E67" s="321" t="s">
        <v>816</v>
      </c>
      <c r="F67" s="365" t="s">
        <v>779</v>
      </c>
      <c r="G67" s="415"/>
      <c r="H67" s="293"/>
      <c r="I67" s="415"/>
      <c r="J67" s="293"/>
      <c r="K67" s="415"/>
      <c r="L67" s="293"/>
      <c r="M67" s="67"/>
    </row>
    <row r="68" spans="1:13" s="12" customFormat="1" ht="22.5" hidden="1" customHeight="1">
      <c r="A68" s="1368"/>
      <c r="B68" s="68"/>
      <c r="D68" s="422" t="s">
        <v>306</v>
      </c>
      <c r="E68" s="321" t="s">
        <v>817</v>
      </c>
      <c r="F68" s="365" t="s">
        <v>779</v>
      </c>
      <c r="G68" s="415"/>
      <c r="H68" s="293"/>
      <c r="I68" s="415"/>
      <c r="J68" s="293"/>
      <c r="K68" s="415"/>
      <c r="L68" s="293"/>
      <c r="M68" s="67"/>
    </row>
    <row r="69" spans="1:13" s="12" customFormat="1" ht="22.5" hidden="1" customHeight="1">
      <c r="A69" s="1368"/>
      <c r="B69" s="68"/>
      <c r="D69" s="422" t="s">
        <v>309</v>
      </c>
      <c r="E69" s="321" t="s">
        <v>818</v>
      </c>
      <c r="F69" s="409" t="s">
        <v>557</v>
      </c>
      <c r="G69" s="421"/>
      <c r="H69" s="293"/>
      <c r="I69" s="421"/>
      <c r="J69" s="293"/>
      <c r="K69" s="421"/>
      <c r="L69" s="293"/>
      <c r="M69" s="67"/>
    </row>
    <row r="70" spans="1:13" s="12" customFormat="1" ht="22.5" hidden="1" customHeight="1">
      <c r="A70" s="1368"/>
      <c r="B70" s="68"/>
      <c r="D70" s="422" t="s">
        <v>643</v>
      </c>
      <c r="E70" s="321" t="s">
        <v>819</v>
      </c>
      <c r="F70" s="409" t="s">
        <v>557</v>
      </c>
      <c r="G70" s="421"/>
      <c r="H70" s="293"/>
      <c r="I70" s="421"/>
      <c r="J70" s="293"/>
      <c r="K70" s="421"/>
      <c r="L70" s="293"/>
      <c r="M70" s="67"/>
    </row>
    <row r="71" spans="1:13" s="12" customFormat="1" ht="22.5" hidden="1" customHeight="1">
      <c r="A71" s="1368"/>
      <c r="B71" s="68"/>
      <c r="D71" s="368" t="s">
        <v>86</v>
      </c>
      <c r="E71" s="369" t="s">
        <v>820</v>
      </c>
      <c r="F71" s="365" t="s">
        <v>779</v>
      </c>
      <c r="G71" s="319"/>
      <c r="H71" s="594"/>
      <c r="I71" s="319"/>
      <c r="J71" s="594"/>
      <c r="K71" s="319"/>
      <c r="L71" s="594"/>
      <c r="M71" s="171"/>
    </row>
    <row r="72" spans="1:13" s="12" customFormat="1" ht="56.25" hidden="1" customHeight="1">
      <c r="A72" s="1368"/>
      <c r="B72" s="68"/>
      <c r="D72" s="368" t="s">
        <v>87</v>
      </c>
      <c r="E72" s="369" t="s">
        <v>821</v>
      </c>
      <c r="F72" s="409" t="s">
        <v>557</v>
      </c>
      <c r="G72" s="421"/>
      <c r="H72" s="589"/>
      <c r="I72" s="421"/>
      <c r="J72" s="589"/>
      <c r="K72" s="421"/>
      <c r="L72" s="589"/>
      <c r="M72" s="171"/>
    </row>
    <row r="73" spans="1:13" s="12" customFormat="1" ht="33.75" hidden="1" customHeight="1">
      <c r="A73" s="1368"/>
      <c r="B73" s="68"/>
      <c r="D73" s="368" t="s">
        <v>107</v>
      </c>
      <c r="E73" s="369" t="s">
        <v>822</v>
      </c>
      <c r="F73" s="414" t="s">
        <v>736</v>
      </c>
      <c r="G73" s="371"/>
      <c r="H73" s="589"/>
      <c r="I73" s="371"/>
      <c r="J73" s="589"/>
      <c r="K73" s="371"/>
      <c r="L73" s="589"/>
      <c r="M73" s="67"/>
    </row>
    <row r="74" spans="1:13" s="12" customFormat="1" ht="22.5" hidden="1" customHeight="1">
      <c r="A74" s="1368"/>
      <c r="B74" s="68" t="s">
        <v>580</v>
      </c>
      <c r="D74" s="368" t="s">
        <v>88</v>
      </c>
      <c r="E74" s="369" t="s">
        <v>823</v>
      </c>
      <c r="F74" s="414" t="s">
        <v>305</v>
      </c>
      <c r="G74" s="115"/>
      <c r="H74" s="589"/>
      <c r="I74" s="115"/>
      <c r="J74" s="589"/>
      <c r="K74" s="115"/>
      <c r="L74" s="589"/>
      <c r="M74" s="67" t="s">
        <v>809</v>
      </c>
    </row>
    <row r="75" spans="1:13" s="12" customFormat="1" ht="45" hidden="1" customHeight="1">
      <c r="A75" s="1368"/>
      <c r="B75" s="68" t="s">
        <v>580</v>
      </c>
      <c r="D75" s="368" t="s">
        <v>824</v>
      </c>
      <c r="E75" s="370" t="s">
        <v>825</v>
      </c>
      <c r="F75" s="409" t="s">
        <v>305</v>
      </c>
      <c r="G75" s="115"/>
      <c r="H75" s="589"/>
      <c r="I75" s="115"/>
      <c r="J75" s="589"/>
      <c r="K75" s="115"/>
      <c r="L75" s="589"/>
      <c r="M75" s="67" t="s">
        <v>809</v>
      </c>
    </row>
    <row r="76" spans="1:13" s="12" customFormat="1" ht="11.25" customHeight="1">
      <c r="A76" s="301"/>
      <c r="B76" s="68"/>
      <c r="D76" s="5"/>
      <c r="E76" s="195"/>
    </row>
    <row r="77" spans="1:13" s="12" customFormat="1" ht="11.25" hidden="1" customHeight="1">
      <c r="A77" s="1368" t="s">
        <v>826</v>
      </c>
      <c r="B77" s="68"/>
      <c r="D77" s="368">
        <v>1</v>
      </c>
      <c r="E77" s="369" t="s">
        <v>827</v>
      </c>
      <c r="F77" s="409" t="s">
        <v>725</v>
      </c>
      <c r="G77" s="412"/>
      <c r="H77" s="589"/>
      <c r="I77" s="412"/>
      <c r="J77" s="589"/>
      <c r="K77" s="412"/>
      <c r="L77" s="589"/>
      <c r="M77" s="67" t="s">
        <v>828</v>
      </c>
    </row>
    <row r="78" spans="1:13" s="12" customFormat="1" ht="11.25" hidden="1" customHeight="1">
      <c r="A78" s="1368"/>
      <c r="B78" s="68"/>
      <c r="D78" s="368" t="s">
        <v>106</v>
      </c>
      <c r="E78" s="369" t="s">
        <v>829</v>
      </c>
      <c r="F78" s="409" t="s">
        <v>725</v>
      </c>
      <c r="G78" s="412"/>
      <c r="H78" s="589"/>
      <c r="I78" s="412"/>
      <c r="J78" s="589"/>
      <c r="K78" s="412"/>
      <c r="L78" s="589"/>
      <c r="M78" s="67" t="s">
        <v>830</v>
      </c>
    </row>
    <row r="79" spans="1:13" s="12" customFormat="1" ht="22.5" hidden="1" customHeight="1">
      <c r="A79" s="1368"/>
      <c r="B79" s="68"/>
      <c r="D79" s="368" t="s">
        <v>86</v>
      </c>
      <c r="E79" s="410" t="s">
        <v>831</v>
      </c>
      <c r="F79" s="365" t="s">
        <v>776</v>
      </c>
      <c r="G79" s="412"/>
      <c r="H79" s="589"/>
      <c r="I79" s="412"/>
      <c r="J79" s="589"/>
      <c r="K79" s="412"/>
      <c r="L79" s="589"/>
      <c r="M79" s="67" t="s">
        <v>832</v>
      </c>
    </row>
    <row r="80" spans="1:13" s="12" customFormat="1" ht="11.25" hidden="1" customHeight="1">
      <c r="A80" s="1368"/>
      <c r="B80" s="68"/>
      <c r="D80" s="368" t="s">
        <v>323</v>
      </c>
      <c r="E80" s="411" t="s">
        <v>833</v>
      </c>
      <c r="F80" s="365" t="s">
        <v>776</v>
      </c>
      <c r="G80" s="412"/>
      <c r="H80" s="589"/>
      <c r="I80" s="412"/>
      <c r="J80" s="589"/>
      <c r="K80" s="412"/>
      <c r="L80" s="589"/>
      <c r="M80" s="67"/>
    </row>
    <row r="81" spans="1:13" s="12" customFormat="1" ht="11.25" hidden="1" customHeight="1">
      <c r="A81" s="1368"/>
      <c r="B81" s="68"/>
      <c r="D81" s="368" t="s">
        <v>331</v>
      </c>
      <c r="E81" s="411" t="s">
        <v>834</v>
      </c>
      <c r="F81" s="365" t="s">
        <v>776</v>
      </c>
      <c r="G81" s="412"/>
      <c r="H81" s="589"/>
      <c r="I81" s="412"/>
      <c r="J81" s="589"/>
      <c r="K81" s="412"/>
      <c r="L81" s="589"/>
      <c r="M81" s="67"/>
    </row>
    <row r="82" spans="1:13" s="12" customFormat="1" ht="11.25" hidden="1" customHeight="1">
      <c r="A82" s="1368"/>
      <c r="B82" s="68"/>
      <c r="D82" s="368" t="s">
        <v>333</v>
      </c>
      <c r="E82" s="411" t="s">
        <v>835</v>
      </c>
      <c r="F82" s="365" t="s">
        <v>776</v>
      </c>
      <c r="G82" s="412"/>
      <c r="H82" s="589"/>
      <c r="I82" s="412"/>
      <c r="J82" s="589"/>
      <c r="K82" s="412"/>
      <c r="L82" s="589"/>
      <c r="M82" s="67"/>
    </row>
    <row r="83" spans="1:13" s="12" customFormat="1" ht="11.25" hidden="1" customHeight="1">
      <c r="A83" s="1368"/>
      <c r="B83" s="68"/>
      <c r="D83" s="368" t="s">
        <v>335</v>
      </c>
      <c r="E83" s="411" t="s">
        <v>836</v>
      </c>
      <c r="F83" s="365" t="s">
        <v>776</v>
      </c>
      <c r="G83" s="412"/>
      <c r="H83" s="589"/>
      <c r="I83" s="412"/>
      <c r="J83" s="589"/>
      <c r="K83" s="412"/>
      <c r="L83" s="589"/>
      <c r="M83" s="67"/>
    </row>
    <row r="84" spans="1:13" s="12" customFormat="1" ht="11.25" hidden="1" customHeight="1">
      <c r="A84" s="1368"/>
      <c r="B84" s="68"/>
      <c r="D84" s="368" t="s">
        <v>837</v>
      </c>
      <c r="E84" s="411" t="s">
        <v>838</v>
      </c>
      <c r="F84" s="365" t="s">
        <v>776</v>
      </c>
      <c r="G84" s="412"/>
      <c r="H84" s="589"/>
      <c r="I84" s="412"/>
      <c r="J84" s="589"/>
      <c r="K84" s="412"/>
      <c r="L84" s="589"/>
      <c r="M84" s="67"/>
    </row>
    <row r="85" spans="1:13" s="12" customFormat="1" ht="11.25" hidden="1" customHeight="1">
      <c r="A85" s="1368"/>
      <c r="B85" s="68"/>
      <c r="D85" s="368" t="s">
        <v>839</v>
      </c>
      <c r="E85" s="411" t="s">
        <v>840</v>
      </c>
      <c r="F85" s="365" t="s">
        <v>776</v>
      </c>
      <c r="G85" s="412"/>
      <c r="H85" s="589"/>
      <c r="I85" s="412"/>
      <c r="J85" s="589"/>
      <c r="K85" s="412"/>
      <c r="L85" s="589"/>
      <c r="M85" s="67"/>
    </row>
    <row r="86" spans="1:13" s="12" customFormat="1" ht="11.25" hidden="1" customHeight="1">
      <c r="A86" s="1368"/>
      <c r="B86" s="68"/>
      <c r="D86" s="368" t="s">
        <v>841</v>
      </c>
      <c r="E86" s="411" t="s">
        <v>842</v>
      </c>
      <c r="F86" s="365" t="s">
        <v>776</v>
      </c>
      <c r="G86" s="412"/>
      <c r="H86" s="589"/>
      <c r="I86" s="412"/>
      <c r="J86" s="589"/>
      <c r="K86" s="412"/>
      <c r="L86" s="589"/>
      <c r="M86" s="67"/>
    </row>
    <row r="87" spans="1:13" s="12" customFormat="1" ht="45" hidden="1" customHeight="1">
      <c r="A87" s="1368"/>
      <c r="B87" s="68"/>
      <c r="D87" s="368" t="s">
        <v>87</v>
      </c>
      <c r="E87" s="369" t="s">
        <v>843</v>
      </c>
      <c r="F87" s="365" t="s">
        <v>776</v>
      </c>
      <c r="G87" s="412"/>
      <c r="H87" s="589"/>
      <c r="I87" s="412"/>
      <c r="J87" s="589"/>
      <c r="K87" s="412"/>
      <c r="L87" s="589"/>
      <c r="M87" s="67" t="s">
        <v>844</v>
      </c>
    </row>
    <row r="88" spans="1:13" s="12" customFormat="1" ht="11.25" hidden="1" customHeight="1">
      <c r="A88" s="1368"/>
      <c r="B88" s="68"/>
      <c r="D88" s="368" t="s">
        <v>668</v>
      </c>
      <c r="E88" s="411" t="s">
        <v>833</v>
      </c>
      <c r="F88" s="365" t="s">
        <v>776</v>
      </c>
      <c r="G88" s="412"/>
      <c r="H88" s="589"/>
      <c r="I88" s="412"/>
      <c r="J88" s="589"/>
      <c r="K88" s="412"/>
      <c r="L88" s="589"/>
      <c r="M88" s="67"/>
    </row>
    <row r="89" spans="1:13" s="12" customFormat="1" ht="11.25" hidden="1" customHeight="1">
      <c r="A89" s="1368"/>
      <c r="B89" s="68"/>
      <c r="D89" s="368" t="s">
        <v>711</v>
      </c>
      <c r="E89" s="411" t="s">
        <v>834</v>
      </c>
      <c r="F89" s="365" t="s">
        <v>776</v>
      </c>
      <c r="G89" s="412"/>
      <c r="H89" s="589"/>
      <c r="I89" s="412"/>
      <c r="J89" s="589"/>
      <c r="K89" s="412"/>
      <c r="L89" s="589"/>
      <c r="M89" s="67"/>
    </row>
    <row r="90" spans="1:13" s="12" customFormat="1" ht="11.25" hidden="1" customHeight="1">
      <c r="A90" s="1368"/>
      <c r="B90" s="68"/>
      <c r="D90" s="368" t="s">
        <v>714</v>
      </c>
      <c r="E90" s="411" t="s">
        <v>835</v>
      </c>
      <c r="F90" s="365" t="s">
        <v>776</v>
      </c>
      <c r="G90" s="412"/>
      <c r="H90" s="589"/>
      <c r="I90" s="412"/>
      <c r="J90" s="589"/>
      <c r="K90" s="412"/>
      <c r="L90" s="589"/>
      <c r="M90" s="67"/>
    </row>
    <row r="91" spans="1:13" s="12" customFormat="1" ht="11.25" hidden="1" customHeight="1">
      <c r="A91" s="1368"/>
      <c r="B91" s="68"/>
      <c r="D91" s="368" t="s">
        <v>794</v>
      </c>
      <c r="E91" s="411" t="s">
        <v>836</v>
      </c>
      <c r="F91" s="365" t="s">
        <v>776</v>
      </c>
      <c r="G91" s="412"/>
      <c r="H91" s="589"/>
      <c r="I91" s="412"/>
      <c r="J91" s="589"/>
      <c r="K91" s="412"/>
      <c r="L91" s="589"/>
      <c r="M91" s="67"/>
    </row>
    <row r="92" spans="1:13" s="12" customFormat="1" ht="11.25" hidden="1" customHeight="1">
      <c r="A92" s="1368"/>
      <c r="B92" s="68"/>
      <c r="D92" s="368" t="s">
        <v>796</v>
      </c>
      <c r="E92" s="411" t="s">
        <v>838</v>
      </c>
      <c r="F92" s="365" t="s">
        <v>776</v>
      </c>
      <c r="G92" s="412"/>
      <c r="H92" s="589"/>
      <c r="I92" s="412"/>
      <c r="J92" s="589"/>
      <c r="K92" s="412"/>
      <c r="L92" s="589"/>
      <c r="M92" s="67"/>
    </row>
    <row r="93" spans="1:13" s="12" customFormat="1" ht="11.25" hidden="1" customHeight="1">
      <c r="A93" s="1368"/>
      <c r="B93" s="68"/>
      <c r="D93" s="368" t="s">
        <v>845</v>
      </c>
      <c r="E93" s="411" t="s">
        <v>840</v>
      </c>
      <c r="F93" s="365" t="s">
        <v>776</v>
      </c>
      <c r="G93" s="412"/>
      <c r="H93" s="589"/>
      <c r="I93" s="412"/>
      <c r="J93" s="589"/>
      <c r="K93" s="412"/>
      <c r="L93" s="589"/>
      <c r="M93" s="67"/>
    </row>
    <row r="94" spans="1:13" s="12" customFormat="1" ht="11.25" hidden="1" customHeight="1">
      <c r="A94" s="1368"/>
      <c r="B94" s="68"/>
      <c r="D94" s="368" t="s">
        <v>846</v>
      </c>
      <c r="E94" s="411" t="s">
        <v>842</v>
      </c>
      <c r="F94" s="365" t="s">
        <v>776</v>
      </c>
      <c r="G94" s="412"/>
      <c r="H94" s="589"/>
      <c r="I94" s="412"/>
      <c r="J94" s="589"/>
      <c r="K94" s="412"/>
      <c r="L94" s="589"/>
      <c r="M94" s="67"/>
    </row>
    <row r="95" spans="1:13" s="12" customFormat="1" ht="24.75" hidden="1" customHeight="1">
      <c r="A95" s="1368"/>
      <c r="B95" s="68"/>
      <c r="D95" s="368" t="s">
        <v>107</v>
      </c>
      <c r="E95" s="369" t="s">
        <v>847</v>
      </c>
      <c r="F95" s="413" t="s">
        <v>557</v>
      </c>
      <c r="G95" s="415"/>
      <c r="H95" s="589"/>
      <c r="I95" s="415"/>
      <c r="J95" s="589"/>
      <c r="K95" s="415"/>
      <c r="L95" s="589"/>
      <c r="M95" s="67" t="s">
        <v>848</v>
      </c>
    </row>
    <row r="96" spans="1:13" s="12" customFormat="1" ht="33.75" hidden="1" customHeight="1">
      <c r="A96" s="1368"/>
      <c r="B96" s="68"/>
      <c r="D96" s="368" t="s">
        <v>88</v>
      </c>
      <c r="E96" s="369" t="s">
        <v>849</v>
      </c>
      <c r="F96" s="414" t="s">
        <v>736</v>
      </c>
      <c r="G96" s="416"/>
      <c r="H96" s="589"/>
      <c r="I96" s="416"/>
      <c r="J96" s="589"/>
      <c r="K96" s="416"/>
      <c r="L96" s="589"/>
      <c r="M96" s="67"/>
    </row>
    <row r="97" spans="1:13" s="12" customFormat="1" ht="22.5" hidden="1" customHeight="1">
      <c r="A97" s="1368"/>
      <c r="B97" s="68" t="s">
        <v>580</v>
      </c>
      <c r="D97" s="368" t="s">
        <v>89</v>
      </c>
      <c r="E97" s="369" t="s">
        <v>850</v>
      </c>
      <c r="F97" s="414" t="s">
        <v>305</v>
      </c>
      <c r="G97" s="218"/>
      <c r="H97" s="589"/>
      <c r="I97" s="218"/>
      <c r="J97" s="589"/>
      <c r="K97" s="218"/>
      <c r="L97" s="589"/>
      <c r="M97" s="67" t="s">
        <v>809</v>
      </c>
    </row>
    <row r="98" spans="1:13" s="12" customFormat="1" ht="45" hidden="1" customHeight="1">
      <c r="A98" s="1368"/>
      <c r="B98" s="68" t="s">
        <v>580</v>
      </c>
      <c r="D98" s="368" t="s">
        <v>851</v>
      </c>
      <c r="E98" s="370" t="s">
        <v>852</v>
      </c>
      <c r="F98" s="409" t="s">
        <v>305</v>
      </c>
      <c r="G98" s="218"/>
      <c r="H98" s="589"/>
      <c r="I98" s="218"/>
      <c r="J98" s="589"/>
      <c r="K98" s="218"/>
      <c r="L98" s="589"/>
      <c r="M98" s="67" t="s">
        <v>809</v>
      </c>
    </row>
    <row r="99" spans="1:13" s="12" customFormat="1" ht="95.25" hidden="1" customHeight="1">
      <c r="A99" s="1368"/>
      <c r="B99" s="68" t="s">
        <v>580</v>
      </c>
      <c r="D99" s="368" t="s">
        <v>108</v>
      </c>
      <c r="E99" s="369" t="s">
        <v>853</v>
      </c>
      <c r="F99" s="409" t="s">
        <v>305</v>
      </c>
      <c r="G99" s="218"/>
      <c r="H99" s="589"/>
      <c r="I99" s="218"/>
      <c r="J99" s="589"/>
      <c r="K99" s="218"/>
      <c r="L99" s="589"/>
      <c r="M99" s="67" t="s">
        <v>809</v>
      </c>
    </row>
    <row r="100" spans="1:13" s="12" customFormat="1" ht="22.5" hidden="1" customHeight="1">
      <c r="A100" s="1368"/>
      <c r="B100" s="68" t="s">
        <v>580</v>
      </c>
      <c r="D100" s="368" t="s">
        <v>149</v>
      </c>
      <c r="E100" s="369" t="s">
        <v>854</v>
      </c>
      <c r="F100" s="409" t="s">
        <v>305</v>
      </c>
      <c r="G100" s="218"/>
      <c r="H100" s="589"/>
      <c r="I100" s="218"/>
      <c r="J100" s="589"/>
      <c r="K100" s="218"/>
      <c r="L100" s="589"/>
      <c r="M100" s="67" t="s">
        <v>809</v>
      </c>
    </row>
    <row r="101" spans="1:13" s="12" customFormat="1" ht="11.25" customHeight="1">
      <c r="A101" s="301"/>
      <c r="B101" s="68"/>
      <c r="D101" s="5"/>
      <c r="E101" s="195"/>
    </row>
  </sheetData>
  <sheetProtection formatColumns="0" formatRows="0" insertRows="0" deleteColumns="0" deleteRows="0" sort="0" autoFilter="0"/>
  <mergeCells count="2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xr:uid="{00000000-0002-0000-2400-000000000000}">
      <formula1>900</formula1>
    </dataValidation>
    <dataValidation type="whole" allowBlank="1" showErrorMessage="1" errorTitle="Ошибка" error="Допускается ввод только неотрицательных целых чисел!" sqref="G16:G17 I16:I17 K16 K17" xr:uid="{00000000-0002-0000-24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xr:uid="{00000000-0002-0000-24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xr:uid="{00000000-0002-0000-2400-000003000000}">
      <formula1>900</formula1>
    </dataValidation>
    <dataValidation type="decimal" allowBlank="1" showErrorMessage="1" errorTitle="Ошибка" error="Введите значение от 0 до 100%" sqref="G31 G95 G60 G72 G42:G43 G69:G70 I31 I95 I60 I72 I42:I43 I69:I70 K31 K42 K43 K60 K69 K70 K72 K95" xr:uid="{00000000-0002-0000-24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xr:uid="{00000000-0002-0000-2400-000005000000}">
      <formula1>"Не утверждены"</formula1>
    </dataValidation>
  </dataValidations>
  <hyperlinks>
    <hyperlink ref="J13" r:id="rId1" tooltip="Кликните по гиперссылке, чтобы перейти по ней или отредактировать её" xr:uid="{D3EB67C9-5572-7067-C32F-6244AFCCF584}"/>
    <hyperlink ref="L13" r:id="rId2" tooltip="Кликните по гиперссылке, чтобы перейти по ней или отредактировать её" xr:uid="{E952480B-818C-5066-DDD4-A91F64C8694F}"/>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1F75D-ABED-2B0F-2BA6-323EB26DEB15}">
  <sheetPr>
    <tabColor rgb="FFE26B0A"/>
  </sheetPr>
  <dimension ref="A1:W39"/>
  <sheetViews>
    <sheetView showGridLines="0" topLeftCell="C21" zoomScale="90" workbookViewId="0">
      <selection activeCell="K25" sqref="K25"/>
    </sheetView>
  </sheetViews>
  <sheetFormatPr defaultColWidth="10.5703125" defaultRowHeight="15" customHeight="1"/>
  <cols>
    <col min="1" max="1" width="9.140625" style="9" hidden="1" customWidth="1"/>
    <col min="2" max="2" width="9.140625" style="12" hidden="1" customWidth="1"/>
    <col min="3" max="3" width="4.7109375" style="86" customWidth="1"/>
    <col min="4" max="4" width="6.28515625" style="12" customWidth="1"/>
    <col min="5" max="5" width="36.7109375" style="12" customWidth="1"/>
    <col min="6" max="6" width="9.5703125" style="12" customWidth="1"/>
    <col min="7" max="7" width="25.7109375" style="12" hidden="1" customWidth="1"/>
    <col min="8" max="8" width="33.7109375" style="12" hidden="1" customWidth="1"/>
    <col min="9" max="9" width="25.7109375" style="12" customWidth="1"/>
    <col min="10" max="10" width="33.7109375" style="12" customWidth="1"/>
    <col min="11" max="11" width="25.7109375" style="12" customWidth="1"/>
    <col min="12" max="12" width="33.7109375" style="12" customWidth="1"/>
    <col min="13" max="13" width="93.42578125" style="63" customWidth="1"/>
    <col min="14" max="22" width="10.5703125" style="12"/>
    <col min="23" max="23" width="10.5703125" style="300"/>
  </cols>
  <sheetData>
    <row r="1" spans="1:23" s="63" customFormat="1" ht="15" hidden="1" customHeight="1">
      <c r="C1" s="299"/>
      <c r="G1" s="63">
        <v>4</v>
      </c>
      <c r="I1" s="63">
        <v>4</v>
      </c>
      <c r="K1" s="63">
        <v>4</v>
      </c>
      <c r="W1" s="234"/>
    </row>
    <row r="2" spans="1:23" s="63" customFormat="1" ht="15" hidden="1" customHeight="1">
      <c r="C2" s="299"/>
      <c r="W2" s="234"/>
    </row>
    <row r="3" spans="1:23" ht="22.5" hidden="1" customHeight="1">
      <c r="A3" s="12"/>
      <c r="B3" s="1373"/>
      <c r="C3" s="1374" t="s">
        <v>117</v>
      </c>
      <c r="D3" s="384" t="str">
        <f>B3&amp;".1"</f>
        <v>.1</v>
      </c>
      <c r="E3" s="385" t="s">
        <v>855</v>
      </c>
      <c r="F3" s="386" t="s">
        <v>305</v>
      </c>
      <c r="G3" s="382"/>
      <c r="H3" s="226"/>
      <c r="I3" s="382"/>
      <c r="J3" s="226"/>
      <c r="K3" s="382"/>
      <c r="L3" s="226"/>
      <c r="M3" s="67" t="s">
        <v>856</v>
      </c>
    </row>
    <row r="4" spans="1:23" ht="15" hidden="1" customHeight="1">
      <c r="A4" s="12"/>
      <c r="B4" s="1373"/>
      <c r="C4" s="1374"/>
      <c r="D4" s="384" t="str">
        <f>B3&amp;".2"</f>
        <v>.2</v>
      </c>
      <c r="E4" s="385" t="s">
        <v>857</v>
      </c>
      <c r="F4" s="386" t="s">
        <v>305</v>
      </c>
      <c r="G4" s="937" t="s">
        <v>18</v>
      </c>
      <c r="H4" s="226"/>
      <c r="I4" s="937" t="s">
        <v>18</v>
      </c>
      <c r="J4" s="226"/>
      <c r="K4" s="937" t="s">
        <v>18</v>
      </c>
      <c r="L4" s="226"/>
      <c r="M4" s="67" t="s">
        <v>858</v>
      </c>
    </row>
    <row r="5" spans="1:23" s="63" customFormat="1" ht="15" hidden="1" customHeight="1">
      <c r="C5" s="299"/>
      <c r="W5" s="234"/>
    </row>
    <row r="6" spans="1:23" ht="22.5" hidden="1" customHeight="1">
      <c r="A6" s="12"/>
      <c r="B6" s="1373"/>
      <c r="C6" s="1374" t="s">
        <v>117</v>
      </c>
      <c r="D6" s="384" t="str">
        <f>B6&amp;".1"</f>
        <v>.1</v>
      </c>
      <c r="E6" s="385" t="s">
        <v>859</v>
      </c>
      <c r="F6" s="386" t="s">
        <v>305</v>
      </c>
      <c r="G6" s="382"/>
      <c r="H6" s="226"/>
      <c r="I6" s="382"/>
      <c r="J6" s="226"/>
      <c r="K6" s="382"/>
      <c r="L6" s="226"/>
      <c r="M6" s="67" t="s">
        <v>860</v>
      </c>
    </row>
    <row r="7" spans="1:23" ht="15" hidden="1" customHeight="1">
      <c r="A7" s="12"/>
      <c r="B7" s="1373"/>
      <c r="C7" s="1374"/>
      <c r="D7" s="384" t="str">
        <f>B6&amp;".2"</f>
        <v>.2</v>
      </c>
      <c r="E7" s="385" t="s">
        <v>857</v>
      </c>
      <c r="F7" s="386" t="s">
        <v>305</v>
      </c>
      <c r="G7" s="937" t="s">
        <v>18</v>
      </c>
      <c r="H7" s="226"/>
      <c r="I7" s="937" t="s">
        <v>18</v>
      </c>
      <c r="J7" s="226"/>
      <c r="K7" s="937" t="s">
        <v>18</v>
      </c>
      <c r="L7" s="226"/>
      <c r="M7" s="67" t="s">
        <v>858</v>
      </c>
    </row>
    <row r="8" spans="1:23" s="63" customFormat="1" ht="15" hidden="1" customHeight="1">
      <c r="C8" s="299"/>
      <c r="W8" s="234"/>
    </row>
    <row r="9" spans="1:23" ht="22.5" hidden="1" customHeight="1">
      <c r="A9" s="12"/>
      <c r="B9" s="1373"/>
      <c r="C9" s="1374" t="s">
        <v>117</v>
      </c>
      <c r="D9" s="384" t="str">
        <f>B9&amp;".1"</f>
        <v>.1</v>
      </c>
      <c r="E9" s="385" t="s">
        <v>861</v>
      </c>
      <c r="F9" s="386" t="s">
        <v>305</v>
      </c>
      <c r="G9" s="392" t="s">
        <v>18</v>
      </c>
      <c r="H9" s="226" t="s">
        <v>18</v>
      </c>
      <c r="I9" s="392" t="s">
        <v>18</v>
      </c>
      <c r="J9" s="226" t="s">
        <v>18</v>
      </c>
      <c r="K9" s="392" t="s">
        <v>18</v>
      </c>
      <c r="L9" s="226" t="s">
        <v>18</v>
      </c>
      <c r="M9" s="67"/>
    </row>
    <row r="10" spans="1:23" ht="15" hidden="1" customHeight="1">
      <c r="A10" s="12"/>
      <c r="B10" s="1373"/>
      <c r="C10" s="1374"/>
      <c r="D10" s="384" t="str">
        <f>B9&amp;".2"</f>
        <v>.2</v>
      </c>
      <c r="E10" s="385" t="s">
        <v>862</v>
      </c>
      <c r="F10" s="386" t="s">
        <v>305</v>
      </c>
      <c r="G10" s="931" t="s">
        <v>18</v>
      </c>
      <c r="H10" s="226" t="s">
        <v>18</v>
      </c>
      <c r="I10" s="931" t="s">
        <v>18</v>
      </c>
      <c r="J10" s="226" t="s">
        <v>18</v>
      </c>
      <c r="K10" s="931" t="s">
        <v>18</v>
      </c>
      <c r="L10" s="226" t="s">
        <v>18</v>
      </c>
      <c r="M10" s="67" t="s">
        <v>863</v>
      </c>
    </row>
    <row r="11" spans="1:23" ht="15" hidden="1" customHeight="1">
      <c r="A11" s="12"/>
      <c r="B11" s="1373"/>
      <c r="C11" s="1374"/>
      <c r="D11" s="384" t="str">
        <f>B9&amp;".3"</f>
        <v>.3</v>
      </c>
      <c r="E11" s="385" t="s">
        <v>864</v>
      </c>
      <c r="F11" s="386" t="s">
        <v>305</v>
      </c>
      <c r="G11" s="931" t="s">
        <v>18</v>
      </c>
      <c r="H11" s="226" t="s">
        <v>18</v>
      </c>
      <c r="I11" s="931" t="s">
        <v>18</v>
      </c>
      <c r="J11" s="226" t="s">
        <v>18</v>
      </c>
      <c r="K11" s="931" t="s">
        <v>18</v>
      </c>
      <c r="L11" s="226" t="s">
        <v>18</v>
      </c>
      <c r="M11" s="67" t="s">
        <v>865</v>
      </c>
    </row>
    <row r="12" spans="1:23" s="63" customFormat="1" ht="15" hidden="1" customHeight="1">
      <c r="C12" s="299"/>
      <c r="W12" s="234"/>
    </row>
    <row r="13" spans="1:23" ht="33.75" hidden="1" customHeight="1">
      <c r="A13" s="12"/>
      <c r="B13" s="1373"/>
      <c r="C13" s="1374" t="s">
        <v>117</v>
      </c>
      <c r="D13" s="384" t="str">
        <f>B13&amp;".1"</f>
        <v>.1</v>
      </c>
      <c r="E13" s="385" t="s">
        <v>866</v>
      </c>
      <c r="F13" s="386" t="s">
        <v>305</v>
      </c>
      <c r="G13" s="392" t="s">
        <v>18</v>
      </c>
      <c r="H13" s="226" t="s">
        <v>18</v>
      </c>
      <c r="I13" s="392" t="s">
        <v>18</v>
      </c>
      <c r="J13" s="226" t="s">
        <v>18</v>
      </c>
      <c r="K13" s="392" t="s">
        <v>18</v>
      </c>
      <c r="L13" s="226" t="s">
        <v>18</v>
      </c>
      <c r="M13" s="67" t="s">
        <v>867</v>
      </c>
    </row>
    <row r="14" spans="1:23" ht="15" hidden="1" customHeight="1">
      <c r="B14" s="1373"/>
      <c r="C14" s="1374"/>
      <c r="D14" s="384" t="str">
        <f>B13&amp;".2"</f>
        <v>.2</v>
      </c>
      <c r="E14" s="385" t="s">
        <v>868</v>
      </c>
      <c r="F14" s="386" t="s">
        <v>305</v>
      </c>
      <c r="G14" s="931" t="s">
        <v>18</v>
      </c>
      <c r="H14" s="226" t="s">
        <v>18</v>
      </c>
      <c r="I14" s="931" t="s">
        <v>18</v>
      </c>
      <c r="J14" s="226" t="s">
        <v>18</v>
      </c>
      <c r="K14" s="931" t="s">
        <v>18</v>
      </c>
      <c r="L14" s="226" t="s">
        <v>18</v>
      </c>
      <c r="M14" s="67" t="s">
        <v>869</v>
      </c>
    </row>
    <row r="15" spans="1:23" s="63" customFormat="1" ht="15" hidden="1" customHeight="1">
      <c r="C15" s="299"/>
      <c r="W15" s="234"/>
    </row>
    <row r="16" spans="1:23" s="63" customFormat="1" ht="15" hidden="1" customHeight="1">
      <c r="C16" s="299"/>
      <c r="W16" s="234"/>
    </row>
    <row r="17" spans="1:23" s="63" customFormat="1" ht="15" hidden="1" customHeight="1">
      <c r="C17" s="299"/>
      <c r="W17" s="234"/>
    </row>
    <row r="18" spans="1:23" s="63" customFormat="1" ht="15" hidden="1" customHeight="1">
      <c r="C18" s="299"/>
      <c r="W18" s="234"/>
    </row>
    <row r="19" spans="1:23" s="63" customFormat="1" ht="15" hidden="1" customHeight="1">
      <c r="C19" s="299"/>
      <c r="W19" s="234"/>
    </row>
    <row r="20" spans="1:23" s="63" customFormat="1" ht="15" hidden="1" customHeight="1">
      <c r="C20" s="299"/>
      <c r="W20" s="234"/>
    </row>
    <row r="22" spans="1:23" ht="22.5" customHeight="1">
      <c r="D22" s="12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249"/>
      <c r="F22" s="1249"/>
      <c r="G22" s="1249"/>
      <c r="H22" s="1249"/>
      <c r="I22" s="1249"/>
      <c r="J22" s="334"/>
      <c r="K22" s="1082"/>
      <c r="L22" s="1082"/>
    </row>
    <row r="23" spans="1:23" ht="15" customHeight="1">
      <c r="D23" s="1194" t="str">
        <f>IF(org=0,"Не определено",org)</f>
        <v>АО "ХТК"</v>
      </c>
      <c r="E23" s="1194"/>
      <c r="F23" s="1194"/>
      <c r="G23" s="1194"/>
      <c r="H23" s="1194"/>
      <c r="I23" s="1194"/>
      <c r="J23" s="334"/>
      <c r="K23" s="1081"/>
      <c r="L23" s="1081"/>
    </row>
    <row r="24" spans="1:23" ht="15" customHeight="1">
      <c r="G24" s="63">
        <v>22</v>
      </c>
      <c r="H24" s="426"/>
      <c r="I24" s="63">
        <v>22</v>
      </c>
      <c r="J24" s="426"/>
      <c r="K24" s="63" t="s">
        <v>18</v>
      </c>
      <c r="L24" s="426"/>
    </row>
    <row r="25" spans="1:23" s="12" customFormat="1" ht="0.75" customHeight="1">
      <c r="A25" s="9"/>
      <c r="C25" s="86"/>
      <c r="G25" s="63"/>
      <c r="H25" s="426"/>
      <c r="I25" s="63" t="s">
        <v>114</v>
      </c>
      <c r="J25" s="426"/>
      <c r="K25" s="63" t="s">
        <v>119</v>
      </c>
      <c r="L25" s="426"/>
      <c r="M25" s="63"/>
      <c r="W25" s="300"/>
    </row>
    <row r="26" spans="1:23" ht="15" customHeight="1">
      <c r="D26" s="400"/>
      <c r="E26" s="1347" t="s">
        <v>101</v>
      </c>
      <c r="F26" s="1348"/>
      <c r="G26" s="1371" t="str">
        <f>IF(G25="","",INDEX(DIFFERENTIATION_UNMERGE_VD,MATCH(G25,DIFFERENTIATION_ID_DIFF,0)))</f>
        <v/>
      </c>
      <c r="H26" s="1372"/>
      <c r="I26" s="1371" t="str">
        <f>IF(I25="","",INDEX(DIFFERENTIATION_UNMERGE_VD,MATCH(I25,DIFFERENTIATION_ID_DIFF,0)))</f>
        <v>Передача. Тепловая энергия</v>
      </c>
      <c r="J26" s="1372"/>
      <c r="K26" s="1371" t="str">
        <f>IF(K25="","",INDEX(DIFFERENTIATION_UNMERGE_VD,MATCH(K25,DIFFERENTIATION_ID_DIFF,0)))</f>
        <v>Передача. Тепловая энергия</v>
      </c>
      <c r="L26" s="1372"/>
      <c r="M26" s="1193" t="s">
        <v>300</v>
      </c>
    </row>
    <row r="27" spans="1:23" s="12" customFormat="1" ht="15" customHeight="1">
      <c r="A27" s="9"/>
      <c r="C27" s="86"/>
      <c r="D27" s="400"/>
      <c r="E27" s="1347" t="s">
        <v>563</v>
      </c>
      <c r="F27" s="1348"/>
      <c r="G27" s="1371" t="str">
        <f>IF(G25="","",INDEX(DIFFERENTIATION_UNMERGE_AREA,MATCH(G25,DIFFERENTIATION_ID_DIFF,0)))</f>
        <v/>
      </c>
      <c r="H27" s="1372"/>
      <c r="I27" s="1371" t="str">
        <f>IF(I25="","",INDEX(DIFFERENTIATION_UNMERGE_AREA,MATCH(I25,DIFFERENTIATION_ID_DIFF,0)))</f>
        <v>Территория 1</v>
      </c>
      <c r="J27" s="1372"/>
      <c r="K27" s="1371" t="str">
        <f>IF(K25="","",INDEX(DIFFERENTIATION_UNMERGE_AREA,MATCH(K25,DIFFERENTIATION_ID_DIFF,0)))</f>
        <v>Территория 1</v>
      </c>
      <c r="L27" s="1372"/>
      <c r="M27" s="1213"/>
      <c r="W27" s="300"/>
    </row>
    <row r="28" spans="1:23" s="12" customFormat="1" ht="15" customHeight="1">
      <c r="A28" s="9"/>
      <c r="C28" s="86"/>
      <c r="D28" s="400"/>
      <c r="E28" s="1347" t="s">
        <v>564</v>
      </c>
      <c r="F28" s="1348"/>
      <c r="G28" s="1371" t="str">
        <f>IF(G25="","",INDEX(DIFFERENTIATION_UNMERGE_SYSTEM,MATCH(G25,DIFFERENTIATION_ID_DIFF,0)))</f>
        <v/>
      </c>
      <c r="H28" s="1372"/>
      <c r="I28" s="1371" t="str">
        <f>IF(I25="","",INDEX(DIFFERENTIATION_UNMERGE_SYSTEM,MATCH(I25,DIFFERENTIATION_ID_DIFF,0)))</f>
        <v>система теплоснабжения г. Кировск</v>
      </c>
      <c r="J28" s="1372"/>
      <c r="K28" s="1371" t="str">
        <f>IF(K25="","",INDEX(DIFFERENTIATION_UNMERGE_SYSTEM,MATCH(K25,DIFFERENTIATION_ID_DIFF,0)))</f>
        <v>система теплоснабжения н.п. Титан</v>
      </c>
      <c r="L28" s="1372"/>
      <c r="M28" s="1213"/>
      <c r="W28" s="300"/>
    </row>
    <row r="29" spans="1:23" s="12" customFormat="1" ht="15" customHeight="1">
      <c r="A29" s="9"/>
      <c r="C29" s="86"/>
      <c r="D29" s="1349" t="s">
        <v>299</v>
      </c>
      <c r="E29" s="1350"/>
      <c r="F29" s="1350"/>
      <c r="G29" s="503"/>
      <c r="H29" s="503"/>
      <c r="I29" s="503"/>
      <c r="J29" s="504"/>
      <c r="K29" s="503"/>
      <c r="L29" s="503"/>
      <c r="M29" s="1213"/>
      <c r="W29" s="300"/>
    </row>
    <row r="30" spans="1:23" ht="33.75" customHeight="1">
      <c r="D30" s="42" t="s">
        <v>84</v>
      </c>
      <c r="E30" s="42" t="s">
        <v>301</v>
      </c>
      <c r="F30" s="42" t="s">
        <v>565</v>
      </c>
      <c r="G30" s="380" t="s">
        <v>302</v>
      </c>
      <c r="H30" s="42" t="s">
        <v>389</v>
      </c>
      <c r="I30" s="380" t="s">
        <v>302</v>
      </c>
      <c r="J30" s="42" t="s">
        <v>389</v>
      </c>
      <c r="K30" s="380" t="s">
        <v>302</v>
      </c>
      <c r="L30" s="42" t="s">
        <v>389</v>
      </c>
      <c r="M30" s="1216"/>
    </row>
    <row r="31" spans="1:23" ht="15" hidden="1" customHeight="1">
      <c r="D31" s="336"/>
      <c r="E31" s="336"/>
      <c r="F31" s="336"/>
      <c r="G31" s="86"/>
      <c r="H31" s="86"/>
      <c r="I31" s="86"/>
      <c r="J31" s="86"/>
      <c r="K31" s="86"/>
      <c r="L31" s="86"/>
      <c r="M31" s="67"/>
    </row>
    <row r="32" spans="1:23" ht="22.5" customHeight="1">
      <c r="A32" s="12"/>
      <c r="B32" s="12" t="s">
        <v>870</v>
      </c>
      <c r="C32" s="76"/>
      <c r="D32" s="387">
        <v>1</v>
      </c>
      <c r="E32" s="388" t="s">
        <v>871</v>
      </c>
      <c r="F32" s="386" t="s">
        <v>305</v>
      </c>
      <c r="G32" s="386" t="s">
        <v>305</v>
      </c>
      <c r="H32" s="386" t="s">
        <v>305</v>
      </c>
      <c r="I32" s="386" t="s">
        <v>305</v>
      </c>
      <c r="J32" s="386" t="s">
        <v>305</v>
      </c>
      <c r="K32" s="386" t="s">
        <v>305</v>
      </c>
      <c r="L32" s="386" t="s">
        <v>305</v>
      </c>
      <c r="M32" s="67"/>
    </row>
    <row r="33" spans="1:23" ht="11.25" customHeight="1">
      <c r="A33" s="12"/>
      <c r="C33" s="12"/>
      <c r="D33" s="41"/>
      <c r="E33" s="108" t="s">
        <v>587</v>
      </c>
      <c r="F33" s="326"/>
      <c r="G33" s="326"/>
      <c r="H33" s="326"/>
      <c r="I33" s="326"/>
      <c r="J33" s="326"/>
      <c r="K33" s="326"/>
      <c r="L33" s="326"/>
      <c r="M33" s="327"/>
      <c r="W33" s="12"/>
    </row>
    <row r="34" spans="1:23" ht="22.5" customHeight="1">
      <c r="A34" s="12"/>
      <c r="B34" s="334" t="s">
        <v>872</v>
      </c>
      <c r="C34" s="76"/>
      <c r="D34" s="387">
        <v>2</v>
      </c>
      <c r="E34" s="388" t="s">
        <v>873</v>
      </c>
      <c r="F34" s="386" t="s">
        <v>305</v>
      </c>
      <c r="G34" s="386" t="s">
        <v>305</v>
      </c>
      <c r="H34" s="386" t="s">
        <v>305</v>
      </c>
      <c r="I34" s="386"/>
      <c r="J34" s="386"/>
      <c r="K34" s="386" t="s">
        <v>305</v>
      </c>
      <c r="L34" s="386" t="s">
        <v>305</v>
      </c>
      <c r="M34" s="67"/>
    </row>
    <row r="35" spans="1:23" ht="11.25" customHeight="1">
      <c r="A35" s="12"/>
      <c r="C35" s="12"/>
      <c r="D35" s="41"/>
      <c r="E35" s="108" t="s">
        <v>874</v>
      </c>
      <c r="F35" s="326"/>
      <c r="G35" s="389"/>
      <c r="H35" s="326"/>
      <c r="I35" s="389"/>
      <c r="J35" s="326"/>
      <c r="K35" s="389"/>
      <c r="L35" s="326"/>
      <c r="M35" s="327"/>
      <c r="W35" s="12"/>
    </row>
    <row r="36" spans="1:23" ht="67.5" customHeight="1">
      <c r="A36" s="12"/>
      <c r="B36" s="12" t="s">
        <v>875</v>
      </c>
      <c r="C36" s="76"/>
      <c r="D36" s="387">
        <v>3</v>
      </c>
      <c r="E36" s="388" t="s">
        <v>876</v>
      </c>
      <c r="F36" s="390" t="s">
        <v>305</v>
      </c>
      <c r="G36" s="295" t="s">
        <v>877</v>
      </c>
      <c r="H36" s="386" t="s">
        <v>305</v>
      </c>
      <c r="I36" s="295" t="s">
        <v>877</v>
      </c>
      <c r="J36" s="386" t="s">
        <v>305</v>
      </c>
      <c r="K36" s="295" t="s">
        <v>877</v>
      </c>
      <c r="L36" s="386" t="s">
        <v>305</v>
      </c>
      <c r="M36" s="67" t="s">
        <v>878</v>
      </c>
    </row>
    <row r="37" spans="1:23" ht="11.25" customHeight="1">
      <c r="A37" s="12"/>
      <c r="C37" s="12"/>
      <c r="D37" s="41"/>
      <c r="E37" s="108" t="s">
        <v>879</v>
      </c>
      <c r="F37" s="326"/>
      <c r="G37" s="389"/>
      <c r="H37" s="389"/>
      <c r="I37" s="389"/>
      <c r="J37" s="389"/>
      <c r="K37" s="389"/>
      <c r="L37" s="389"/>
      <c r="M37" s="327"/>
      <c r="W37" s="12"/>
    </row>
    <row r="38" spans="1:23" ht="67.5" customHeight="1">
      <c r="A38" s="12"/>
      <c r="B38" s="12" t="s">
        <v>880</v>
      </c>
      <c r="C38" s="76"/>
      <c r="D38" s="387">
        <v>4</v>
      </c>
      <c r="E38" s="388" t="s">
        <v>881</v>
      </c>
      <c r="F38" s="390" t="s">
        <v>305</v>
      </c>
      <c r="G38" s="295" t="s">
        <v>877</v>
      </c>
      <c r="H38" s="42" t="s">
        <v>305</v>
      </c>
      <c r="I38" s="295" t="s">
        <v>877</v>
      </c>
      <c r="J38" s="42" t="s">
        <v>305</v>
      </c>
      <c r="K38" s="295" t="s">
        <v>877</v>
      </c>
      <c r="L38" s="42" t="s">
        <v>305</v>
      </c>
      <c r="M38" s="376" t="s">
        <v>882</v>
      </c>
    </row>
    <row r="39" spans="1:23" ht="11.25" customHeight="1">
      <c r="A39" s="12"/>
      <c r="C39" s="12"/>
      <c r="D39" s="41"/>
      <c r="E39" s="108" t="s">
        <v>883</v>
      </c>
      <c r="F39" s="326"/>
      <c r="G39" s="326"/>
      <c r="H39" s="391"/>
      <c r="I39" s="326"/>
      <c r="J39" s="391"/>
      <c r="K39" s="326"/>
      <c r="L39" s="391"/>
      <c r="M39" s="327"/>
      <c r="W39" s="12"/>
    </row>
  </sheetData>
  <sheetProtection formatColumns="0" formatRows="0" insertRows="0" deleteColumns="0" deleteRows="0" sort="0" autoFilter="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500-000000000000}"/>
    <dataValidation type="textLength" operator="lessThanOrEqual" allowBlank="1" showInputMessage="1" showErrorMessage="1" errorTitle="Ошибка" error="Допускается ввод не более 900 символов!" sqref="I3 I6 I9 I13 G6 G13 G9 G3 K3 K6 K9 K13" xr:uid="{00000000-0002-0000-25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xr:uid="{00000000-0002-0000-25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xr:uid="{00000000-0002-0000-2500-000003000000}">
      <formula1>900</formula1>
    </dataValidation>
    <dataValidation allowBlank="1" showInputMessage="1" showErrorMessage="1" prompt="Для выбора выполните двойной щелчок левой клавиши мыши по ячейке." sqref="I36 G38 I38 G36 K36 K38" xr:uid="{00000000-0002-0000-25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9CA36-525E-4581-5B5D-56D6FC6C6F3F}">
  <sheetPr>
    <tabColor theme="9" tint="-0.249977111117893"/>
  </sheetPr>
  <dimension ref="A1:AD17"/>
  <sheetViews>
    <sheetView showGridLines="0" topLeftCell="E4" zoomScale="85" workbookViewId="0">
      <selection activeCell="Y13" sqref="Y13:Y14"/>
    </sheetView>
  </sheetViews>
  <sheetFormatPr defaultColWidth="9.140625" defaultRowHeight="10.5" customHeight="1"/>
  <cols>
    <col min="1" max="3" width="6.7109375" style="301" hidden="1" customWidth="1"/>
    <col min="4" max="4" width="6.7109375" style="63" hidden="1" customWidth="1"/>
    <col min="5" max="5" width="3.7109375" style="12" customWidth="1"/>
    <col min="6" max="6" width="6.28515625" style="12" customWidth="1"/>
    <col min="7" max="7" width="37.7109375" style="12" customWidth="1"/>
    <col min="8" max="8" width="16.5703125" style="12" customWidth="1"/>
    <col min="9" max="10" width="19.7109375" style="12" customWidth="1"/>
    <col min="11" max="11" width="25" style="12" customWidth="1"/>
    <col min="12" max="13" width="25.7109375" style="12" customWidth="1"/>
    <col min="14" max="16" width="17.7109375" style="12" customWidth="1"/>
    <col min="17" max="24" width="19.7109375" style="12" customWidth="1"/>
    <col min="25" max="25" width="8" style="12" customWidth="1"/>
    <col min="26" max="26" width="3.28515625" style="12" customWidth="1"/>
    <col min="27" max="27" width="6.28515625" style="12" customWidth="1"/>
    <col min="28" max="28" width="34.140625" style="12" customWidth="1"/>
    <col min="29" max="30" width="9.140625" style="12"/>
  </cols>
  <sheetData>
    <row r="1" spans="1:30" s="63" customFormat="1" ht="10.5" hidden="1" customHeight="1">
      <c r="A1" s="301"/>
      <c r="B1" s="301"/>
      <c r="C1" s="301"/>
    </row>
    <row r="2" spans="1:30" ht="10.5" hidden="1" customHeight="1"/>
    <row r="3" spans="1:30" s="9" customFormat="1" ht="10.5" hidden="1" customHeight="1">
      <c r="A3" s="301"/>
      <c r="B3" s="301"/>
      <c r="C3" s="301"/>
      <c r="D3" s="63"/>
    </row>
    <row r="4" spans="1:30" ht="3" customHeight="1"/>
    <row r="5" spans="1:30" ht="25.5" customHeight="1">
      <c r="F5" s="1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49"/>
      <c r="H5" s="1249"/>
      <c r="I5" s="1249"/>
      <c r="J5" s="1249"/>
      <c r="K5" s="1249"/>
      <c r="M5" s="18"/>
    </row>
    <row r="6" spans="1:30" s="12" customFormat="1" ht="15.75" customHeight="1">
      <c r="A6" s="301"/>
      <c r="B6" s="301"/>
      <c r="C6" s="301"/>
      <c r="D6" s="63"/>
      <c r="F6" s="1194" t="str">
        <f>IF(org=0,"Не определено",org)</f>
        <v>АО "ХТК"</v>
      </c>
      <c r="G6" s="1194"/>
      <c r="H6" s="1194"/>
      <c r="I6" s="1194"/>
      <c r="J6" s="1194"/>
      <c r="K6" s="1194"/>
      <c r="M6" s="18"/>
    </row>
    <row r="8" spans="1:30" ht="10.5" customHeight="1">
      <c r="F8" s="1117" t="s">
        <v>299</v>
      </c>
      <c r="G8" s="1122"/>
      <c r="H8" s="1122"/>
      <c r="I8" s="1122"/>
      <c r="J8" s="1122"/>
      <c r="K8" s="1122"/>
      <c r="L8" s="1122"/>
      <c r="M8" s="1122"/>
      <c r="N8" s="1122"/>
      <c r="O8" s="1122"/>
      <c r="P8" s="1122"/>
      <c r="Q8" s="1122"/>
      <c r="R8" s="1122"/>
      <c r="S8" s="1122"/>
      <c r="T8" s="1122"/>
      <c r="U8" s="1122"/>
      <c r="V8" s="1122"/>
      <c r="W8" s="1122"/>
      <c r="X8" s="1122"/>
      <c r="Y8" s="1122"/>
      <c r="Z8" s="1122"/>
      <c r="AA8" s="1122"/>
      <c r="AB8" s="1116"/>
    </row>
    <row r="9" spans="1:30" ht="41.25" customHeight="1">
      <c r="A9" s="517"/>
      <c r="B9" s="517"/>
      <c r="C9" s="517"/>
      <c r="F9" s="1146" t="s">
        <v>84</v>
      </c>
      <c r="G9" s="1146" t="s">
        <v>884</v>
      </c>
      <c r="H9" s="1193" t="s">
        <v>885</v>
      </c>
      <c r="I9" s="1146" t="s">
        <v>886</v>
      </c>
      <c r="J9" s="1146" t="s">
        <v>887</v>
      </c>
      <c r="K9" s="1146" t="s">
        <v>888</v>
      </c>
      <c r="L9" s="1146" t="s">
        <v>889</v>
      </c>
      <c r="M9" s="1146" t="s">
        <v>890</v>
      </c>
      <c r="N9" s="1224" t="s">
        <v>891</v>
      </c>
      <c r="O9" s="1224"/>
      <c r="P9" s="1224"/>
      <c r="Q9" s="1274" t="s">
        <v>892</v>
      </c>
      <c r="R9" s="1275"/>
      <c r="S9" s="1275"/>
      <c r="T9" s="1276"/>
      <c r="U9" s="1274" t="s">
        <v>893</v>
      </c>
      <c r="V9" s="1275"/>
      <c r="W9" s="1275"/>
      <c r="X9" s="1276"/>
      <c r="Y9" s="1117" t="s">
        <v>894</v>
      </c>
      <c r="Z9" s="1122"/>
      <c r="AA9" s="1122"/>
      <c r="AB9" s="1116"/>
    </row>
    <row r="10" spans="1:30" ht="41.25" customHeight="1">
      <c r="A10" s="517"/>
      <c r="B10" s="517"/>
      <c r="C10" s="517"/>
      <c r="F10" s="1193"/>
      <c r="G10" s="1193"/>
      <c r="H10" s="1244"/>
      <c r="I10" s="1193"/>
      <c r="J10" s="1193"/>
      <c r="K10" s="1193"/>
      <c r="L10" s="1193"/>
      <c r="M10" s="1193"/>
      <c r="N10" s="515" t="s">
        <v>895</v>
      </c>
      <c r="O10" s="515" t="s">
        <v>896</v>
      </c>
      <c r="P10" s="516" t="s">
        <v>897</v>
      </c>
      <c r="Q10" s="515" t="s">
        <v>85</v>
      </c>
      <c r="R10" s="515" t="s">
        <v>898</v>
      </c>
      <c r="S10" s="515" t="s">
        <v>899</v>
      </c>
      <c r="T10" s="519" t="s">
        <v>900</v>
      </c>
      <c r="U10" s="515" t="s">
        <v>85</v>
      </c>
      <c r="V10" s="515" t="s">
        <v>901</v>
      </c>
      <c r="W10" s="515" t="s">
        <v>899</v>
      </c>
      <c r="X10" s="519" t="s">
        <v>900</v>
      </c>
      <c r="Y10" s="170" t="s">
        <v>902</v>
      </c>
      <c r="Z10" s="1117" t="s">
        <v>84</v>
      </c>
      <c r="AA10" s="1116"/>
      <c r="AB10" s="42" t="s">
        <v>903</v>
      </c>
    </row>
    <row r="11" spans="1:30" s="68" customFormat="1" ht="5.25" hidden="1" customHeight="1">
      <c r="A11" s="311"/>
      <c r="B11" s="311"/>
      <c r="C11" s="311"/>
      <c r="E11" s="120"/>
      <c r="F11" s="1379" t="s">
        <v>375</v>
      </c>
      <c r="G11" s="1376"/>
      <c r="H11" s="1375"/>
      <c r="I11" s="1375"/>
      <c r="J11" s="1375"/>
      <c r="K11" s="1377"/>
      <c r="L11" s="1377"/>
      <c r="M11" s="1377"/>
      <c r="N11" s="1375"/>
      <c r="O11" s="1375"/>
      <c r="P11" s="1146"/>
      <c r="Q11" s="1197"/>
      <c r="R11" s="1197"/>
      <c r="S11" s="1197"/>
      <c r="T11" s="1375"/>
      <c r="U11" s="1197"/>
      <c r="V11" s="1197"/>
      <c r="W11" s="1197"/>
      <c r="X11" s="1375"/>
      <c r="Y11" s="1128"/>
      <c r="Z11" s="1128"/>
      <c r="AA11" s="1128"/>
      <c r="AB11" s="1128"/>
      <c r="AD11" s="68" t="s">
        <v>904</v>
      </c>
    </row>
    <row r="12" spans="1:30" s="68" customFormat="1" ht="5.25" hidden="1" customHeight="1">
      <c r="A12" s="311"/>
      <c r="B12" s="311"/>
      <c r="C12" s="311"/>
      <c r="F12" s="1379"/>
      <c r="G12" s="1376"/>
      <c r="H12" s="1375"/>
      <c r="I12" s="1375"/>
      <c r="J12" s="1375"/>
      <c r="K12" s="1377"/>
      <c r="L12" s="1377"/>
      <c r="M12" s="1377"/>
      <c r="N12" s="1375"/>
      <c r="O12" s="1375"/>
      <c r="P12" s="1146"/>
      <c r="Q12" s="1197"/>
      <c r="R12" s="1197"/>
      <c r="S12" s="1197"/>
      <c r="T12" s="1375"/>
      <c r="U12" s="1197"/>
      <c r="V12" s="1197"/>
      <c r="W12" s="1197"/>
      <c r="X12" s="1375"/>
      <c r="Y12" s="1378"/>
      <c r="Z12" s="1378"/>
      <c r="AA12" s="1378"/>
      <c r="AB12" s="1378"/>
    </row>
    <row r="13" spans="1:30" ht="27" customHeight="1">
      <c r="E13" s="1395" t="s">
        <v>117</v>
      </c>
      <c r="F13" s="1388" t="s">
        <v>105</v>
      </c>
      <c r="G13" s="1389" t="s">
        <v>905</v>
      </c>
      <c r="H13" s="1390" t="s">
        <v>62</v>
      </c>
      <c r="I13" s="1392">
        <v>44418</v>
      </c>
      <c r="J13" s="1383">
        <v>45225</v>
      </c>
      <c r="K13" s="1394" t="s">
        <v>906</v>
      </c>
      <c r="L13" s="1385" t="s">
        <v>907</v>
      </c>
      <c r="M13" s="1385" t="s">
        <v>908</v>
      </c>
      <c r="N13" s="1386" t="s">
        <v>909</v>
      </c>
      <c r="O13" s="1386" t="s">
        <v>910</v>
      </c>
      <c r="P13" s="1387" t="str">
        <f>DATEDIF(DATEVALUE(N13),DATEVALUE(O13),"y")&amp;"г. "&amp;DATEDIF(DATEVALUE(N13),DATEVALUE(O13),"ym")&amp;"мес. "&amp;DATEVALUE(O13)-DATE(YEAR(DATEVALUE(O13)),MONTH(DATEVALUE(O13)),1)&amp;"дн. "</f>
        <v xml:space="preserve">4г. 11мес. 30дн. </v>
      </c>
      <c r="Q13" s="1382" t="s">
        <v>911</v>
      </c>
      <c r="R13" s="1382" t="s">
        <v>912</v>
      </c>
      <c r="S13" s="1382" t="s">
        <v>913</v>
      </c>
      <c r="T13" s="1383" t="s">
        <v>914</v>
      </c>
      <c r="U13" s="1382" t="s">
        <v>915</v>
      </c>
      <c r="V13" s="1382" t="s">
        <v>912</v>
      </c>
      <c r="W13" s="1382">
        <v>200</v>
      </c>
      <c r="X13" s="1383">
        <v>45225</v>
      </c>
      <c r="Y13" s="1380" t="s">
        <v>52</v>
      </c>
      <c r="Z13" s="852"/>
      <c r="AA13" s="42">
        <v>1</v>
      </c>
      <c r="AB13" s="1097" t="s">
        <v>18</v>
      </c>
      <c r="AD13" s="68" t="s">
        <v>916</v>
      </c>
    </row>
    <row r="14" spans="1:30" ht="10.5" customHeight="1">
      <c r="E14" s="1396"/>
      <c r="F14" s="1388" t="s">
        <v>375</v>
      </c>
      <c r="G14" s="1389"/>
      <c r="H14" s="1391"/>
      <c r="I14" s="1393"/>
      <c r="J14" s="1384"/>
      <c r="K14" s="1394"/>
      <c r="L14" s="1385"/>
      <c r="M14" s="1385"/>
      <c r="N14" s="1386"/>
      <c r="O14" s="1386"/>
      <c r="P14" s="1387"/>
      <c r="Q14" s="1382"/>
      <c r="R14" s="1382"/>
      <c r="S14" s="1382"/>
      <c r="T14" s="1384"/>
      <c r="U14" s="1382"/>
      <c r="V14" s="1382"/>
      <c r="W14" s="1382"/>
      <c r="X14" s="1384"/>
      <c r="Y14" s="1381"/>
      <c r="Z14" s="41"/>
      <c r="AA14" s="326"/>
      <c r="AB14" s="344" t="s">
        <v>917</v>
      </c>
    </row>
    <row r="15" spans="1:30" ht="10.5" customHeight="1">
      <c r="F15" s="167"/>
      <c r="G15" s="108" t="s">
        <v>918</v>
      </c>
      <c r="H15" s="108"/>
      <c r="I15" s="326"/>
      <c r="J15" s="326"/>
      <c r="K15" s="326"/>
      <c r="L15" s="326"/>
      <c r="M15" s="326"/>
      <c r="N15" s="326"/>
      <c r="O15" s="326"/>
      <c r="P15" s="326"/>
      <c r="Q15" s="326"/>
      <c r="R15" s="326"/>
      <c r="S15" s="326"/>
      <c r="T15" s="326"/>
      <c r="U15" s="326"/>
      <c r="V15" s="326"/>
      <c r="W15" s="326"/>
      <c r="X15" s="326"/>
      <c r="Y15" s="326"/>
      <c r="Z15" s="391"/>
      <c r="AA15" s="391"/>
      <c r="AB15" s="520"/>
    </row>
    <row r="17" spans="1:8" s="68" customFormat="1" ht="10.5" customHeight="1">
      <c r="A17" s="311"/>
      <c r="B17" s="311"/>
      <c r="C17" s="311"/>
      <c r="H17" s="68">
        <f>IFERROR(MATCH("нет",IP_MAIN_DIFFERENTIATION_EVENTS_FLAG,0),0)</f>
        <v>0</v>
      </c>
    </row>
  </sheetData>
  <sheetProtection formatColumns="0" formatRows="0" insertRows="0" deleteColumns="0" deleteRows="0" sort="0" autoFilter="0"/>
  <mergeCells count="60">
    <mergeCell ref="E13:E14"/>
    <mergeCell ref="L13:L14"/>
    <mergeCell ref="U13:U14"/>
    <mergeCell ref="V13:V14"/>
    <mergeCell ref="F13:F14"/>
    <mergeCell ref="G13:G14"/>
    <mergeCell ref="H13:H14"/>
    <mergeCell ref="I13:I14"/>
    <mergeCell ref="J13:J14"/>
    <mergeCell ref="K13:K14"/>
    <mergeCell ref="Y13:Y14"/>
    <mergeCell ref="S13:S14"/>
    <mergeCell ref="T13:T14"/>
    <mergeCell ref="M13:M14"/>
    <mergeCell ref="N13:N14"/>
    <mergeCell ref="O13:O14"/>
    <mergeCell ref="Q13:Q14"/>
    <mergeCell ref="R13:R14"/>
    <mergeCell ref="W13:W14"/>
    <mergeCell ref="X13:X14"/>
    <mergeCell ref="P13:P14"/>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dataValidations count="4">
    <dataValidation type="textLength" operator="lessThanOrEqual" allowBlank="1" showInputMessage="1" showErrorMessage="1" errorTitle="Ошибка" error="Допускается ввод не более 900 символов!" sqref="AB13 L13:M13 Q13:S13 U13:W13" xr:uid="{00000000-0002-0000-2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I13:J13 T13" xr:uid="{00000000-0002-0000-2600-000001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xr:uid="{00000000-0002-0000-2600-00000B000000}">
      <formula1>"a"</formula1>
    </dataValidation>
    <dataValidation allowBlank="1" showInputMessage="1" showErrorMessage="1" promptTitle="Ввод" prompt="Для выбора ИП необходимо два раза нажать левую кнопку мыши!" sqref="G13" xr:uid="{00000000-0002-0000-2600-00000E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B36E1-E6B1-2805-72BB-E36CD77B3863}">
  <sheetPr>
    <tabColor theme="9" tint="-0.249977111117893"/>
  </sheetPr>
  <dimension ref="A1:BF231"/>
  <sheetViews>
    <sheetView showGridLines="0" topLeftCell="E4" zoomScale="90" workbookViewId="0">
      <selection activeCell="AE133" sqref="AE133"/>
    </sheetView>
  </sheetViews>
  <sheetFormatPr defaultColWidth="9.140625" defaultRowHeight="10.5" customHeight="1"/>
  <cols>
    <col min="1" max="3" width="4.140625" style="301" hidden="1" customWidth="1"/>
    <col min="4" max="4" width="4.140625" style="63" hidden="1" customWidth="1"/>
    <col min="5" max="5" width="3.7109375" style="12" customWidth="1"/>
    <col min="6" max="6" width="14.42578125" style="12" customWidth="1"/>
    <col min="7" max="7" width="3.7109375" style="12" customWidth="1"/>
    <col min="8" max="8" width="7.7109375" style="12" customWidth="1"/>
    <col min="9" max="10" width="16.7109375" style="12" hidden="1" customWidth="1"/>
    <col min="11" max="11" width="25.7109375" style="12" customWidth="1"/>
    <col min="12" max="12" width="8" style="12" customWidth="1"/>
    <col min="13" max="13" width="15.5703125" style="12" customWidth="1"/>
    <col min="14" max="14" width="3.28515625" style="12" customWidth="1"/>
    <col min="15" max="15" width="4.7109375" style="12" customWidth="1"/>
    <col min="16" max="16" width="9" style="12" customWidth="1"/>
    <col min="17" max="17" width="21.7109375" style="12" customWidth="1"/>
    <col min="18" max="18" width="14.7109375" style="12" customWidth="1"/>
    <col min="19" max="20" width="17.7109375" style="12" customWidth="1"/>
    <col min="21" max="21" width="9.7109375" style="12" customWidth="1"/>
    <col min="22" max="22" width="12.7109375" style="12" customWidth="1"/>
    <col min="23" max="23" width="9.7109375" style="12" customWidth="1"/>
    <col min="24" max="24" width="21.7109375" style="12" customWidth="1"/>
    <col min="25" max="25" width="12.7109375" style="12" customWidth="1"/>
    <col min="26" max="26" width="3.28515625" style="12" customWidth="1"/>
    <col min="27" max="27" width="7.140625" style="12" customWidth="1"/>
    <col min="28" max="28" width="38.42578125" style="12" customWidth="1"/>
    <col min="29" max="29" width="15.7109375" style="12" customWidth="1"/>
    <col min="30" max="30" width="37.5703125" style="12" customWidth="1"/>
    <col min="31" max="31" width="15.7109375" style="12" customWidth="1"/>
    <col min="32" max="37" width="16.7109375" style="12" customWidth="1"/>
    <col min="38" max="58" width="9.140625" style="12"/>
  </cols>
  <sheetData>
    <row r="1" spans="1:58" s="63" customFormat="1" ht="10.5" hidden="1" customHeight="1">
      <c r="A1" s="301"/>
      <c r="B1" s="301"/>
      <c r="C1" s="301"/>
    </row>
    <row r="2" spans="1:58" ht="10.5" hidden="1" customHeight="1"/>
    <row r="3" spans="1:58" s="9" customFormat="1" ht="10.5" hidden="1" customHeight="1">
      <c r="A3" s="301"/>
      <c r="B3" s="301"/>
      <c r="C3" s="301"/>
      <c r="D3" s="63"/>
    </row>
    <row r="4" spans="1:58" ht="3" customHeight="1"/>
    <row r="5" spans="1:58" ht="25.5" customHeight="1">
      <c r="F5" s="1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49"/>
      <c r="H5" s="1249"/>
      <c r="I5" s="1249"/>
      <c r="J5" s="1249"/>
      <c r="K5" s="1249"/>
      <c r="L5" s="657"/>
      <c r="M5" s="657"/>
    </row>
    <row r="6" spans="1:58" ht="10.5" customHeight="1">
      <c r="F6" s="1194" t="str">
        <f>IF(org=0,"Не определено",org)</f>
        <v>АО "ХТК"</v>
      </c>
      <c r="G6" s="1194"/>
      <c r="H6" s="1194"/>
      <c r="I6" s="1194"/>
      <c r="J6" s="1194"/>
      <c r="K6" s="1194"/>
      <c r="L6" s="657"/>
      <c r="M6" s="657"/>
    </row>
    <row r="7" spans="1:58" ht="11.25" customHeight="1">
      <c r="E7" s="11"/>
      <c r="F7" s="521"/>
      <c r="G7" s="521"/>
      <c r="H7" s="521"/>
      <c r="I7" s="521"/>
      <c r="J7" s="521"/>
      <c r="K7" s="523"/>
      <c r="L7" s="523"/>
      <c r="M7" s="523"/>
      <c r="N7" s="521"/>
      <c r="O7" s="521"/>
      <c r="P7" s="521"/>
      <c r="Q7" s="523"/>
      <c r="R7" s="521"/>
      <c r="S7" s="521"/>
      <c r="T7" s="521"/>
      <c r="U7" s="521"/>
      <c r="V7" s="521"/>
      <c r="W7" s="521"/>
      <c r="X7" s="521"/>
      <c r="Y7" s="521"/>
      <c r="Z7" s="521"/>
      <c r="AA7" s="521"/>
      <c r="AB7" s="521"/>
      <c r="AC7" s="522"/>
      <c r="AD7" s="522"/>
      <c r="AE7" s="522"/>
      <c r="AF7" s="521"/>
      <c r="AG7" s="521"/>
      <c r="AH7" s="521"/>
      <c r="AI7" s="521"/>
      <c r="AJ7" s="521"/>
      <c r="AK7" s="521"/>
      <c r="AL7" s="63"/>
      <c r="AM7" s="63"/>
      <c r="AN7" s="63"/>
      <c r="AO7" s="35"/>
      <c r="AP7" s="35"/>
      <c r="AQ7" s="35"/>
      <c r="AR7" s="35"/>
      <c r="AS7" s="35"/>
      <c r="AT7" s="35"/>
      <c r="AU7" s="35"/>
      <c r="AV7" s="35"/>
      <c r="AW7" s="35"/>
      <c r="AX7" s="35"/>
      <c r="AY7" s="35"/>
      <c r="AZ7" s="35"/>
      <c r="BA7" s="35"/>
      <c r="BB7" s="35"/>
      <c r="BC7" s="35"/>
      <c r="BD7" s="35"/>
      <c r="BE7" s="35"/>
      <c r="BF7" s="35"/>
    </row>
    <row r="8" spans="1:58" ht="10.5" customHeight="1">
      <c r="E8" s="11"/>
      <c r="F8" s="1400" t="s">
        <v>299</v>
      </c>
      <c r="G8" s="1401"/>
      <c r="H8" s="1401"/>
      <c r="I8" s="1401"/>
      <c r="J8" s="1401"/>
      <c r="K8" s="1401"/>
      <c r="L8" s="1401"/>
      <c r="M8" s="1401"/>
      <c r="N8" s="1401"/>
      <c r="O8" s="1401"/>
      <c r="P8" s="1401"/>
      <c r="Q8" s="1401"/>
      <c r="R8" s="1401"/>
      <c r="S8" s="1401"/>
      <c r="T8" s="1401"/>
      <c r="U8" s="1401"/>
      <c r="V8" s="1401"/>
      <c r="W8" s="1401"/>
      <c r="X8" s="1401"/>
      <c r="Y8" s="1401"/>
      <c r="Z8" s="1401"/>
      <c r="AA8" s="1401"/>
      <c r="AB8" s="1401"/>
      <c r="AC8" s="1401"/>
      <c r="AD8" s="1401"/>
      <c r="AE8" s="1401"/>
      <c r="AF8" s="1401"/>
      <c r="AG8" s="1401"/>
      <c r="AH8" s="1401"/>
      <c r="AI8" s="1401"/>
      <c r="AJ8" s="1401"/>
      <c r="AK8" s="1402"/>
      <c r="AL8" s="518"/>
      <c r="AM8" s="35"/>
      <c r="AN8" s="35"/>
      <c r="AO8" s="35"/>
      <c r="AP8" s="35"/>
      <c r="AQ8" s="35"/>
      <c r="AR8" s="35"/>
      <c r="AS8" s="35"/>
      <c r="AT8" s="35"/>
      <c r="AU8" s="35"/>
      <c r="AV8" s="35"/>
      <c r="AW8" s="35"/>
      <c r="AX8" s="35"/>
      <c r="AY8" s="35"/>
      <c r="AZ8" s="35"/>
      <c r="BA8" s="35"/>
      <c r="BB8" s="35"/>
      <c r="BC8" s="35"/>
      <c r="BD8" s="35"/>
      <c r="BE8" s="35"/>
      <c r="BF8" s="35"/>
    </row>
    <row r="9" spans="1:58" ht="23.25" customHeight="1">
      <c r="A9" s="517"/>
      <c r="B9" s="517"/>
      <c r="C9" s="517"/>
      <c r="E9" s="11"/>
      <c r="F9" s="1224" t="s">
        <v>919</v>
      </c>
      <c r="G9" s="1318" t="s">
        <v>920</v>
      </c>
      <c r="H9" s="1398"/>
      <c r="I9" s="1146" t="s">
        <v>921</v>
      </c>
      <c r="J9" s="1146"/>
      <c r="K9" s="1146" t="s">
        <v>922</v>
      </c>
      <c r="L9" s="1146"/>
      <c r="M9" s="1146"/>
      <c r="N9" s="1146"/>
      <c r="O9" s="1146"/>
      <c r="P9" s="1146"/>
      <c r="Q9" s="1146"/>
      <c r="R9" s="1146"/>
      <c r="S9" s="1146"/>
      <c r="T9" s="1146"/>
      <c r="U9" s="1146"/>
      <c r="V9" s="1146"/>
      <c r="W9" s="1146"/>
      <c r="X9" s="1146"/>
      <c r="Y9" s="1146"/>
      <c r="Z9" s="1210" t="s">
        <v>923</v>
      </c>
      <c r="AA9" s="1211"/>
      <c r="AB9" s="1146" t="s">
        <v>924</v>
      </c>
      <c r="AC9" s="1146"/>
      <c r="AD9" s="1146"/>
      <c r="AE9" s="1146"/>
      <c r="AF9" s="1193" t="s">
        <v>925</v>
      </c>
      <c r="AG9" s="1146" t="s">
        <v>926</v>
      </c>
      <c r="AH9" s="1146"/>
      <c r="AI9" s="1193" t="s">
        <v>927</v>
      </c>
      <c r="AJ9" s="1146" t="s">
        <v>928</v>
      </c>
      <c r="AK9" s="1146"/>
      <c r="AM9" s="35"/>
      <c r="AN9" s="35"/>
      <c r="AO9" s="35"/>
      <c r="AP9" s="35"/>
      <c r="AQ9" s="35"/>
      <c r="AR9" s="35"/>
      <c r="AS9" s="35"/>
      <c r="AT9" s="35"/>
      <c r="AU9" s="35"/>
      <c r="AV9" s="35"/>
      <c r="AW9" s="35"/>
      <c r="AX9" s="35"/>
      <c r="AY9" s="35"/>
      <c r="AZ9" s="35"/>
      <c r="BA9" s="35"/>
      <c r="BB9" s="35"/>
      <c r="BC9" s="35"/>
      <c r="BD9" s="35"/>
      <c r="BE9" s="35"/>
      <c r="BF9" s="35"/>
    </row>
    <row r="10" spans="1:58" ht="23.25" customHeight="1">
      <c r="A10" s="517"/>
      <c r="B10" s="517"/>
      <c r="C10" s="517"/>
      <c r="E10" s="11"/>
      <c r="F10" s="1224"/>
      <c r="G10" s="1319"/>
      <c r="H10" s="1228"/>
      <c r="I10" s="1146"/>
      <c r="J10" s="1146"/>
      <c r="K10" s="1146" t="s">
        <v>929</v>
      </c>
      <c r="L10" s="1117" t="s">
        <v>930</v>
      </c>
      <c r="M10" s="1116"/>
      <c r="N10" s="1146" t="s">
        <v>931</v>
      </c>
      <c r="O10" s="1146"/>
      <c r="P10" s="1146"/>
      <c r="Q10" s="1146"/>
      <c r="R10" s="1146"/>
      <c r="S10" s="1146"/>
      <c r="T10" s="1146"/>
      <c r="U10" s="1146"/>
      <c r="V10" s="1146"/>
      <c r="W10" s="1146"/>
      <c r="X10" s="1146"/>
      <c r="Y10" s="1146"/>
      <c r="Z10" s="1212"/>
      <c r="AA10" s="1213"/>
      <c r="AB10" s="1146"/>
      <c r="AC10" s="1146"/>
      <c r="AD10" s="1146"/>
      <c r="AE10" s="1146"/>
      <c r="AF10" s="1214"/>
      <c r="AG10" s="1146"/>
      <c r="AH10" s="1146"/>
      <c r="AI10" s="1214"/>
      <c r="AJ10" s="1146"/>
      <c r="AK10" s="1146"/>
      <c r="AM10" s="35"/>
      <c r="AN10" s="35"/>
      <c r="AO10" s="35"/>
      <c r="AP10" s="35"/>
      <c r="AQ10" s="35"/>
      <c r="AR10" s="35"/>
      <c r="AS10" s="35"/>
      <c r="AT10" s="35"/>
      <c r="AU10" s="35"/>
      <c r="AV10" s="35"/>
      <c r="AW10" s="35"/>
      <c r="AX10" s="35"/>
      <c r="AY10" s="35"/>
      <c r="AZ10" s="35"/>
      <c r="BA10" s="35"/>
      <c r="BB10" s="35"/>
      <c r="BC10" s="35"/>
      <c r="BD10" s="35"/>
      <c r="BE10" s="35"/>
      <c r="BF10" s="35"/>
    </row>
    <row r="11" spans="1:58" s="12" customFormat="1" ht="23.25" customHeight="1">
      <c r="A11" s="517"/>
      <c r="B11" s="517"/>
      <c r="C11" s="517"/>
      <c r="D11" s="63"/>
      <c r="E11" s="11"/>
      <c r="F11" s="1224"/>
      <c r="G11" s="1319"/>
      <c r="H11" s="1228"/>
      <c r="I11" s="1146"/>
      <c r="J11" s="1146"/>
      <c r="K11" s="1146"/>
      <c r="L11" s="1193" t="s">
        <v>932</v>
      </c>
      <c r="M11" s="1193" t="s">
        <v>933</v>
      </c>
      <c r="N11" s="1146" t="s">
        <v>934</v>
      </c>
      <c r="O11" s="1146"/>
      <c r="P11" s="1173" t="s">
        <v>902</v>
      </c>
      <c r="Q11" s="1173" t="s">
        <v>935</v>
      </c>
      <c r="R11" s="1173" t="s">
        <v>936</v>
      </c>
      <c r="S11" s="1173" t="s">
        <v>937</v>
      </c>
      <c r="T11" s="1173"/>
      <c r="U11" s="1173"/>
      <c r="V11" s="1173"/>
      <c r="W11" s="1173"/>
      <c r="X11" s="1173"/>
      <c r="Y11" s="1173"/>
      <c r="Z11" s="1212"/>
      <c r="AA11" s="1213"/>
      <c r="AB11" s="1146" t="s">
        <v>938</v>
      </c>
      <c r="AC11" s="1146"/>
      <c r="AD11" s="1117" t="s">
        <v>939</v>
      </c>
      <c r="AE11" s="1116"/>
      <c r="AF11" s="1214"/>
      <c r="AG11" s="1146"/>
      <c r="AH11" s="1146"/>
      <c r="AI11" s="1214"/>
      <c r="AJ11" s="1146"/>
      <c r="AK11" s="1146"/>
      <c r="AM11" s="35"/>
      <c r="AN11" s="35"/>
      <c r="AO11" s="35"/>
      <c r="AP11" s="35"/>
      <c r="AQ11" s="35"/>
      <c r="AR11" s="35"/>
      <c r="AS11" s="35"/>
      <c r="AT11" s="35"/>
      <c r="AU11" s="35"/>
      <c r="AV11" s="35"/>
      <c r="AW11" s="35"/>
      <c r="AX11" s="35"/>
      <c r="AY11" s="35"/>
      <c r="AZ11" s="35"/>
      <c r="BA11" s="35"/>
      <c r="BB11" s="35"/>
      <c r="BC11" s="35"/>
      <c r="BD11" s="35"/>
      <c r="BE11" s="35"/>
      <c r="BF11" s="35"/>
    </row>
    <row r="12" spans="1:58" ht="33.75" customHeight="1">
      <c r="A12" s="517"/>
      <c r="B12" s="517"/>
      <c r="C12" s="517"/>
      <c r="E12" s="11"/>
      <c r="F12" s="1224"/>
      <c r="G12" s="1320"/>
      <c r="H12" s="1399"/>
      <c r="I12" s="42" t="s">
        <v>85</v>
      </c>
      <c r="J12" s="42" t="s">
        <v>940</v>
      </c>
      <c r="K12" s="1146"/>
      <c r="L12" s="1244"/>
      <c r="M12" s="1244"/>
      <c r="N12" s="1146"/>
      <c r="O12" s="1146"/>
      <c r="P12" s="1173"/>
      <c r="Q12" s="1173"/>
      <c r="R12" s="1173"/>
      <c r="S12" s="40" t="s">
        <v>82</v>
      </c>
      <c r="T12" s="40" t="s">
        <v>83</v>
      </c>
      <c r="U12" s="40" t="s">
        <v>81</v>
      </c>
      <c r="V12" s="40" t="s">
        <v>941</v>
      </c>
      <c r="W12" s="40" t="s">
        <v>81</v>
      </c>
      <c r="X12" s="40" t="s">
        <v>942</v>
      </c>
      <c r="Y12" s="40" t="s">
        <v>943</v>
      </c>
      <c r="Z12" s="1215"/>
      <c r="AA12" s="1216"/>
      <c r="AB12" s="42" t="s">
        <v>944</v>
      </c>
      <c r="AC12" s="42" t="s">
        <v>945</v>
      </c>
      <c r="AD12" s="42" t="s">
        <v>944</v>
      </c>
      <c r="AE12" s="42" t="s">
        <v>945</v>
      </c>
      <c r="AF12" s="1244"/>
      <c r="AG12" s="42" t="s">
        <v>946</v>
      </c>
      <c r="AH12" s="42" t="s">
        <v>947</v>
      </c>
      <c r="AI12" s="1244"/>
      <c r="AJ12" s="42" t="s">
        <v>946</v>
      </c>
      <c r="AK12" s="42" t="s">
        <v>947</v>
      </c>
      <c r="AM12" s="35"/>
      <c r="AN12" s="35"/>
      <c r="AO12" s="35"/>
      <c r="AP12" s="35"/>
      <c r="AQ12" s="35"/>
      <c r="AR12" s="35"/>
      <c r="AS12" s="35"/>
      <c r="AT12" s="35"/>
      <c r="AU12" s="35"/>
      <c r="AV12" s="35"/>
      <c r="AW12" s="35"/>
      <c r="AX12" s="35"/>
      <c r="AY12" s="35"/>
      <c r="AZ12" s="35"/>
      <c r="BA12" s="35"/>
      <c r="BB12" s="35"/>
      <c r="BC12" s="35"/>
      <c r="BD12" s="35"/>
      <c r="BE12" s="35"/>
      <c r="BF12" s="35"/>
    </row>
    <row r="13" spans="1:58" ht="0.75" customHeight="1">
      <c r="E13" s="11"/>
      <c r="F13" s="11">
        <v>0</v>
      </c>
      <c r="G13" s="11"/>
      <c r="H13" s="11"/>
      <c r="I13" s="11"/>
      <c r="J13" s="11"/>
      <c r="AL13" s="518"/>
      <c r="AM13" s="35"/>
      <c r="AN13" s="35"/>
      <c r="AO13" s="35"/>
      <c r="AP13" s="35"/>
      <c r="AQ13" s="35"/>
      <c r="AR13" s="35"/>
      <c r="AS13" s="35"/>
      <c r="AT13" s="35"/>
      <c r="AU13" s="35"/>
      <c r="AV13" s="35"/>
      <c r="AW13" s="35"/>
      <c r="AX13" s="35"/>
      <c r="AY13" s="35"/>
      <c r="AZ13" s="35"/>
      <c r="BA13" s="35"/>
      <c r="BB13" s="35"/>
      <c r="BC13" s="35"/>
      <c r="BD13" s="35"/>
      <c r="BE13" s="35"/>
      <c r="BF13" s="35"/>
    </row>
    <row r="14" spans="1:58" ht="21" customHeight="1">
      <c r="A14" s="311" t="s">
        <v>916</v>
      </c>
      <c r="E14" s="11" t="s">
        <v>18</v>
      </c>
      <c r="F14" s="655" t="str">
        <f>INDEX(IP_MAIN_LIST_NAME_IP,MATCH(A14,IP_MAIN_LIST_IP_ID,0))&amp;" ("&amp;INDEX(IP_MAIN_START_DATE,MATCH(A14,IP_MAIN_LIST_IP_ID,0))&amp;"-"&amp;INDEX(IP_MAIN_END_DATE,MATCH(A14,IP_MAIN_LIST_IP_ID,0))&amp;")"</f>
        <v>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 (10.01.2022-31.12.2026)</v>
      </c>
      <c r="G14" s="656"/>
      <c r="H14" s="656"/>
      <c r="I14" s="673"/>
      <c r="J14" s="673"/>
      <c r="K14" s="674"/>
      <c r="L14" s="674"/>
      <c r="M14" s="674"/>
      <c r="N14" s="675"/>
      <c r="O14" s="675"/>
      <c r="P14" s="675"/>
      <c r="Q14" s="675"/>
      <c r="R14" s="675"/>
      <c r="S14" s="675"/>
      <c r="T14" s="675"/>
      <c r="U14" s="675"/>
      <c r="V14" s="675"/>
      <c r="W14" s="675"/>
      <c r="X14" s="675"/>
      <c r="Y14" s="675"/>
      <c r="Z14" s="675"/>
      <c r="AA14" s="675"/>
      <c r="AB14" s="675"/>
      <c r="AC14" s="675"/>
      <c r="AD14" s="675"/>
      <c r="AE14" s="676"/>
      <c r="AF14" s="674"/>
      <c r="AG14" s="674"/>
      <c r="AH14" s="674"/>
      <c r="AI14" s="674"/>
      <c r="AJ14" s="674"/>
      <c r="AK14" s="674"/>
      <c r="AL14" s="703"/>
      <c r="AM14" s="35"/>
      <c r="AN14" s="35"/>
      <c r="AO14" s="35"/>
      <c r="AP14" s="35"/>
      <c r="AQ14" s="35"/>
      <c r="AR14" s="35"/>
      <c r="AS14" s="35"/>
      <c r="AT14" s="35"/>
      <c r="AU14" s="35"/>
      <c r="AV14" s="35"/>
      <c r="AW14" s="35"/>
      <c r="AX14" s="35"/>
      <c r="AY14" s="35"/>
      <c r="AZ14" s="35"/>
      <c r="BA14" s="35"/>
      <c r="BB14" s="35"/>
      <c r="BC14" s="35"/>
      <c r="BD14" s="35"/>
      <c r="BE14" s="35"/>
      <c r="BF14" s="35"/>
    </row>
    <row r="15" spans="1:58" ht="11.25" customHeight="1">
      <c r="A15" s="301" t="s">
        <v>916</v>
      </c>
      <c r="E15" s="11"/>
      <c r="F15" s="1405">
        <v>2022</v>
      </c>
      <c r="G15" s="1410"/>
      <c r="H15" s="1410" t="s">
        <v>105</v>
      </c>
      <c r="I15" s="1411"/>
      <c r="J15" s="1412"/>
      <c r="K15" s="1413" t="s">
        <v>948</v>
      </c>
      <c r="L15" s="1403" t="s">
        <v>52</v>
      </c>
      <c r="M15" s="1128"/>
      <c r="N15" s="667"/>
      <c r="O15" s="666" t="s">
        <v>375</v>
      </c>
      <c r="P15" s="667"/>
      <c r="Q15" s="667"/>
      <c r="R15" s="667"/>
      <c r="S15" s="667"/>
      <c r="T15" s="667"/>
      <c r="U15" s="667"/>
      <c r="V15" s="667"/>
      <c r="W15" s="667"/>
      <c r="X15" s="667"/>
      <c r="Y15" s="667"/>
      <c r="Z15" s="667"/>
      <c r="AA15" s="667"/>
      <c r="AB15" s="667"/>
      <c r="AC15" s="667"/>
      <c r="AD15" s="667"/>
      <c r="AE15" s="667"/>
      <c r="AF15" s="1408">
        <v>2022</v>
      </c>
      <c r="AG15" s="1403" t="s">
        <v>949</v>
      </c>
      <c r="AH15" s="1403" t="s">
        <v>950</v>
      </c>
      <c r="AI15" s="1408">
        <v>2022</v>
      </c>
      <c r="AJ15" s="1403" t="s">
        <v>949</v>
      </c>
      <c r="AK15" s="1403" t="s">
        <v>950</v>
      </c>
      <c r="AL15" s="703"/>
      <c r="AM15" s="35"/>
      <c r="AN15" s="35"/>
      <c r="AO15" s="35"/>
      <c r="AP15" s="35"/>
      <c r="AQ15" s="35"/>
      <c r="AR15" s="35"/>
      <c r="AS15" s="35"/>
      <c r="AT15" s="35"/>
      <c r="AU15" s="35"/>
      <c r="AV15" s="35"/>
      <c r="AW15" s="35"/>
      <c r="AX15" s="35"/>
      <c r="AY15" s="35"/>
      <c r="AZ15" s="35"/>
      <c r="BA15" s="35"/>
      <c r="BB15" s="35"/>
      <c r="BC15" s="35"/>
      <c r="BD15" s="35"/>
      <c r="BE15" s="35"/>
      <c r="BF15" s="35"/>
    </row>
    <row r="16" spans="1:58" ht="11.25" customHeight="1">
      <c r="A16" s="301" t="s">
        <v>916</v>
      </c>
      <c r="E16" s="11"/>
      <c r="F16" s="1405"/>
      <c r="G16" s="1410"/>
      <c r="H16" s="1410"/>
      <c r="I16" s="1411"/>
      <c r="J16" s="1412"/>
      <c r="K16" s="1413"/>
      <c r="L16" s="1403"/>
      <c r="M16" s="1128"/>
      <c r="N16" s="1414"/>
      <c r="O16" s="1415">
        <v>1</v>
      </c>
      <c r="P16" s="1416" t="s">
        <v>52</v>
      </c>
      <c r="Q16" s="1377" t="s">
        <v>18</v>
      </c>
      <c r="R16" s="1377" t="s">
        <v>18</v>
      </c>
      <c r="S16" s="1377" t="s">
        <v>18</v>
      </c>
      <c r="T16" s="1377" t="s">
        <v>18</v>
      </c>
      <c r="U16" s="1377" t="s">
        <v>18</v>
      </c>
      <c r="V16" s="1377" t="s">
        <v>18</v>
      </c>
      <c r="W16" s="1377" t="s">
        <v>18</v>
      </c>
      <c r="X16" s="1377" t="s">
        <v>18</v>
      </c>
      <c r="Y16" s="1377"/>
      <c r="Z16" s="664"/>
      <c r="AA16" s="665"/>
      <c r="AB16" s="665"/>
      <c r="AC16" s="669"/>
      <c r="AD16" s="669"/>
      <c r="AE16" s="670"/>
      <c r="AF16" s="1408"/>
      <c r="AG16" s="1403"/>
      <c r="AH16" s="1403"/>
      <c r="AI16" s="1408"/>
      <c r="AJ16" s="1403"/>
      <c r="AK16" s="1403"/>
      <c r="AL16" s="703"/>
      <c r="AM16" s="35"/>
      <c r="AN16" s="35"/>
      <c r="AO16" s="35"/>
      <c r="AP16" s="35"/>
      <c r="AQ16" s="35"/>
      <c r="AR16" s="35"/>
      <c r="AS16" s="35"/>
      <c r="AT16" s="35"/>
      <c r="AU16" s="35"/>
      <c r="AV16" s="35"/>
      <c r="AW16" s="35"/>
      <c r="AX16" s="35"/>
      <c r="AY16" s="35"/>
      <c r="AZ16" s="35"/>
      <c r="BA16" s="35"/>
      <c r="BB16" s="35"/>
      <c r="BC16" s="35"/>
      <c r="BD16" s="35"/>
      <c r="BE16" s="35"/>
      <c r="BF16" s="35"/>
    </row>
    <row r="17" spans="1:58" ht="11.25" customHeight="1">
      <c r="A17" s="301" t="s">
        <v>916</v>
      </c>
      <c r="E17" s="11"/>
      <c r="F17" s="1405"/>
      <c r="G17" s="1410"/>
      <c r="H17" s="1410"/>
      <c r="I17" s="1411"/>
      <c r="J17" s="1412"/>
      <c r="K17" s="1413"/>
      <c r="L17" s="1403"/>
      <c r="M17" s="1128"/>
      <c r="N17" s="1414"/>
      <c r="O17" s="1415"/>
      <c r="P17" s="1417"/>
      <c r="Q17" s="1377"/>
      <c r="R17" s="1377"/>
      <c r="S17" s="1409"/>
      <c r="T17" s="1377"/>
      <c r="U17" s="1377"/>
      <c r="V17" s="1377"/>
      <c r="W17" s="1377"/>
      <c r="X17" s="1377"/>
      <c r="Y17" s="1377"/>
      <c r="Z17" s="978"/>
      <c r="AA17" s="969">
        <v>1</v>
      </c>
      <c r="AB17" s="668" t="s">
        <v>951</v>
      </c>
      <c r="AC17" s="371">
        <v>8134.8</v>
      </c>
      <c r="AD17" s="668" t="str">
        <f>AB17</f>
        <v xml:space="preserve">      Прочие амортизационные отчисления</v>
      </c>
      <c r="AE17" s="371">
        <v>8134.8</v>
      </c>
      <c r="AF17" s="1408"/>
      <c r="AG17" s="1403"/>
      <c r="AH17" s="1403"/>
      <c r="AI17" s="1408"/>
      <c r="AJ17" s="1403"/>
      <c r="AK17" s="1403"/>
      <c r="AL17" s="703"/>
      <c r="AM17" s="35"/>
      <c r="AN17" s="35"/>
      <c r="AO17" s="35"/>
      <c r="AP17" s="35"/>
      <c r="AQ17" s="35"/>
      <c r="AR17" s="35"/>
      <c r="AS17" s="35"/>
      <c r="AT17" s="35"/>
      <c r="AU17" s="35"/>
      <c r="AV17" s="35"/>
      <c r="AW17" s="35"/>
      <c r="AX17" s="35"/>
      <c r="AY17" s="35"/>
      <c r="AZ17" s="35"/>
      <c r="BA17" s="35"/>
      <c r="BB17" s="35"/>
      <c r="BC17" s="35"/>
      <c r="BD17" s="35"/>
      <c r="BE17" s="35"/>
      <c r="BF17" s="35"/>
    </row>
    <row r="18" spans="1:58" ht="11.25" customHeight="1">
      <c r="A18" s="301" t="s">
        <v>916</v>
      </c>
      <c r="E18" s="11"/>
      <c r="F18" s="1405"/>
      <c r="G18" s="1410"/>
      <c r="H18" s="1410"/>
      <c r="I18" s="1411"/>
      <c r="J18" s="1412"/>
      <c r="K18" s="1413"/>
      <c r="L18" s="1403"/>
      <c r="M18" s="1128"/>
      <c r="N18" s="1414"/>
      <c r="O18" s="1415"/>
      <c r="P18" s="1418"/>
      <c r="Q18" s="1377"/>
      <c r="R18" s="1377"/>
      <c r="S18" s="1409"/>
      <c r="T18" s="1377"/>
      <c r="U18" s="1377"/>
      <c r="V18" s="1377"/>
      <c r="W18" s="1377"/>
      <c r="X18" s="1377"/>
      <c r="Y18" s="1377"/>
      <c r="Z18" s="664"/>
      <c r="AA18" s="665"/>
      <c r="AB18" s="108" t="s">
        <v>952</v>
      </c>
      <c r="AC18" s="669"/>
      <c r="AD18" s="669"/>
      <c r="AE18" s="671"/>
      <c r="AF18" s="1408"/>
      <c r="AG18" s="1403"/>
      <c r="AH18" s="1403"/>
      <c r="AI18" s="1408"/>
      <c r="AJ18" s="1403"/>
      <c r="AK18" s="1403"/>
      <c r="AL18" s="703"/>
      <c r="AM18" s="35"/>
      <c r="AN18" s="35"/>
      <c r="AO18" s="35"/>
      <c r="AP18" s="35"/>
      <c r="AQ18" s="35"/>
      <c r="AR18" s="35"/>
      <c r="AS18" s="35"/>
      <c r="AT18" s="35"/>
      <c r="AU18" s="35"/>
      <c r="AV18" s="35"/>
      <c r="AW18" s="35"/>
      <c r="AX18" s="35"/>
      <c r="AY18" s="35"/>
      <c r="AZ18" s="35"/>
      <c r="BA18" s="35"/>
      <c r="BB18" s="35"/>
      <c r="BC18" s="35"/>
      <c r="BD18" s="35"/>
      <c r="BE18" s="35"/>
      <c r="BF18" s="35"/>
    </row>
    <row r="19" spans="1:58" ht="11.25" customHeight="1">
      <c r="A19" s="301" t="s">
        <v>916</v>
      </c>
      <c r="E19" s="11"/>
      <c r="F19" s="1405"/>
      <c r="G19" s="1410"/>
      <c r="H19" s="1410"/>
      <c r="I19" s="1411"/>
      <c r="J19" s="1412"/>
      <c r="K19" s="1413"/>
      <c r="L19" s="1403"/>
      <c r="M19" s="1128"/>
      <c r="N19" s="665"/>
      <c r="O19" s="665"/>
      <c r="P19" s="108" t="s">
        <v>953</v>
      </c>
      <c r="Q19" s="665"/>
      <c r="R19" s="665"/>
      <c r="S19" s="665"/>
      <c r="T19" s="665"/>
      <c r="U19" s="665"/>
      <c r="V19" s="665"/>
      <c r="W19" s="665"/>
      <c r="X19" s="665"/>
      <c r="Y19" s="665"/>
      <c r="Z19" s="665"/>
      <c r="AA19" s="665"/>
      <c r="AB19" s="665"/>
      <c r="AC19" s="665"/>
      <c r="AD19" s="665"/>
      <c r="AE19" s="672"/>
      <c r="AF19" s="1408"/>
      <c r="AG19" s="1403"/>
      <c r="AH19" s="1403"/>
      <c r="AI19" s="1408"/>
      <c r="AJ19" s="1403"/>
      <c r="AK19" s="1403"/>
      <c r="AL19" s="703"/>
      <c r="AM19" s="35"/>
      <c r="AN19" s="35"/>
      <c r="AO19" s="35"/>
      <c r="AP19" s="35"/>
      <c r="AQ19" s="35"/>
      <c r="AR19" s="35"/>
      <c r="AS19" s="35"/>
      <c r="AT19" s="35"/>
      <c r="AU19" s="35"/>
      <c r="AV19" s="35"/>
      <c r="AW19" s="35"/>
      <c r="AX19" s="35"/>
      <c r="AY19" s="35"/>
      <c r="AZ19" s="35"/>
      <c r="BA19" s="35"/>
      <c r="BB19" s="35"/>
      <c r="BC19" s="35"/>
      <c r="BD19" s="35"/>
      <c r="BE19" s="35"/>
      <c r="BF19" s="35"/>
    </row>
    <row r="20" spans="1:58" ht="11.25" customHeight="1">
      <c r="A20" s="301" t="s">
        <v>916</v>
      </c>
      <c r="E20" s="11"/>
      <c r="F20" s="1406"/>
      <c r="G20" s="1395" t="s">
        <v>117</v>
      </c>
      <c r="H20" s="1410" t="s">
        <v>106</v>
      </c>
      <c r="I20" s="1411"/>
      <c r="J20" s="1412"/>
      <c r="K20" s="1413" t="s">
        <v>954</v>
      </c>
      <c r="L20" s="1127" t="s">
        <v>52</v>
      </c>
      <c r="M20" s="1128"/>
      <c r="N20" s="1046"/>
      <c r="O20" s="666" t="s">
        <v>375</v>
      </c>
      <c r="P20" s="667"/>
      <c r="Q20" s="667"/>
      <c r="R20" s="667"/>
      <c r="S20" s="667"/>
      <c r="T20" s="667"/>
      <c r="U20" s="667"/>
      <c r="V20" s="667"/>
      <c r="W20" s="667"/>
      <c r="X20" s="667"/>
      <c r="Y20" s="667"/>
      <c r="Z20" s="667"/>
      <c r="AA20" s="667"/>
      <c r="AB20" s="667"/>
      <c r="AC20" s="667"/>
      <c r="AD20" s="667"/>
      <c r="AE20" s="667"/>
      <c r="AF20" s="1408">
        <v>2022</v>
      </c>
      <c r="AG20" s="1403" t="s">
        <v>949</v>
      </c>
      <c r="AH20" s="1403" t="s">
        <v>950</v>
      </c>
      <c r="AI20" s="1408">
        <v>2022</v>
      </c>
      <c r="AJ20" s="1403" t="s">
        <v>949</v>
      </c>
      <c r="AK20" s="1403" t="s">
        <v>950</v>
      </c>
      <c r="AL20" s="703"/>
      <c r="AM20" s="35"/>
      <c r="AN20" s="35"/>
      <c r="AO20" s="35"/>
      <c r="AP20" s="35"/>
      <c r="AQ20" s="35"/>
      <c r="AR20" s="35"/>
      <c r="AS20" s="35"/>
      <c r="AT20" s="35"/>
      <c r="AU20" s="35"/>
      <c r="AV20" s="35"/>
      <c r="AW20" s="35"/>
      <c r="AX20" s="35"/>
      <c r="AY20" s="35"/>
      <c r="AZ20" s="35"/>
      <c r="BA20" s="35"/>
      <c r="BB20" s="35"/>
      <c r="BC20" s="35"/>
      <c r="BD20" s="35"/>
      <c r="BE20" s="35"/>
      <c r="BF20" s="35"/>
    </row>
    <row r="21" spans="1:58" ht="11.25" customHeight="1">
      <c r="A21" s="301" t="s">
        <v>916</v>
      </c>
      <c r="E21" s="11"/>
      <c r="F21" s="1406"/>
      <c r="G21" s="1421"/>
      <c r="H21" s="1410" t="s">
        <v>105</v>
      </c>
      <c r="I21" s="1411"/>
      <c r="J21" s="1412"/>
      <c r="K21" s="1413"/>
      <c r="L21" s="1127"/>
      <c r="M21" s="1128"/>
      <c r="N21" s="1423"/>
      <c r="O21" s="1424">
        <v>1</v>
      </c>
      <c r="P21" s="1416" t="s">
        <v>52</v>
      </c>
      <c r="Q21" s="1377" t="s">
        <v>18</v>
      </c>
      <c r="R21" s="1377" t="s">
        <v>18</v>
      </c>
      <c r="S21" s="1377" t="s">
        <v>18</v>
      </c>
      <c r="T21" s="1377" t="s">
        <v>18</v>
      </c>
      <c r="U21" s="1377" t="s">
        <v>18</v>
      </c>
      <c r="V21" s="1377" t="s">
        <v>18</v>
      </c>
      <c r="W21" s="1377" t="s">
        <v>18</v>
      </c>
      <c r="X21" s="1377" t="s">
        <v>18</v>
      </c>
      <c r="Y21" s="1377"/>
      <c r="Z21" s="664"/>
      <c r="AA21" s="665"/>
      <c r="AB21" s="665"/>
      <c r="AC21" s="669"/>
      <c r="AD21" s="669"/>
      <c r="AE21" s="670"/>
      <c r="AF21" s="1408"/>
      <c r="AG21" s="1403"/>
      <c r="AH21" s="1403"/>
      <c r="AI21" s="1408"/>
      <c r="AJ21" s="1403"/>
      <c r="AK21" s="1403"/>
      <c r="AL21" s="703"/>
      <c r="AM21" s="35"/>
      <c r="AN21" s="35"/>
      <c r="AO21" s="35"/>
      <c r="AP21" s="35"/>
      <c r="AQ21" s="35"/>
      <c r="AR21" s="35"/>
      <c r="AS21" s="35"/>
      <c r="AT21" s="35"/>
      <c r="AU21" s="35"/>
      <c r="AV21" s="35"/>
      <c r="AW21" s="35"/>
      <c r="AX21" s="35"/>
      <c r="AY21" s="35"/>
      <c r="AZ21" s="35"/>
      <c r="BA21" s="35"/>
      <c r="BB21" s="35"/>
      <c r="BC21" s="35"/>
      <c r="BD21" s="35"/>
      <c r="BE21" s="35"/>
      <c r="BF21" s="35"/>
    </row>
    <row r="22" spans="1:58" ht="11.25" customHeight="1">
      <c r="A22" s="301" t="s">
        <v>916</v>
      </c>
      <c r="E22" s="11"/>
      <c r="F22" s="1406"/>
      <c r="G22" s="1421"/>
      <c r="H22" s="1410" t="s">
        <v>105</v>
      </c>
      <c r="I22" s="1411"/>
      <c r="J22" s="1412"/>
      <c r="K22" s="1413"/>
      <c r="L22" s="1127"/>
      <c r="M22" s="1128"/>
      <c r="N22" s="1423"/>
      <c r="O22" s="1424"/>
      <c r="P22" s="1417"/>
      <c r="Q22" s="1377"/>
      <c r="R22" s="1377"/>
      <c r="S22" s="1409"/>
      <c r="T22" s="1377"/>
      <c r="U22" s="1377"/>
      <c r="V22" s="1377"/>
      <c r="W22" s="1377"/>
      <c r="X22" s="1377"/>
      <c r="Y22" s="1377"/>
      <c r="Z22" s="978"/>
      <c r="AA22" s="969">
        <v>1</v>
      </c>
      <c r="AB22" s="668" t="s">
        <v>951</v>
      </c>
      <c r="AC22" s="371">
        <v>11196.66</v>
      </c>
      <c r="AD22" s="668" t="str">
        <f>AB22</f>
        <v xml:space="preserve">      Прочие амортизационные отчисления</v>
      </c>
      <c r="AE22" s="371">
        <v>9662.09</v>
      </c>
      <c r="AF22" s="1408"/>
      <c r="AG22" s="1403"/>
      <c r="AH22" s="1403"/>
      <c r="AI22" s="1408"/>
      <c r="AJ22" s="1403"/>
      <c r="AK22" s="1403"/>
      <c r="AL22" s="703"/>
      <c r="AM22" s="35"/>
      <c r="AN22" s="35"/>
      <c r="AO22" s="35"/>
      <c r="AP22" s="35"/>
      <c r="AQ22" s="35"/>
      <c r="AR22" s="35"/>
      <c r="AS22" s="35"/>
      <c r="AT22" s="35"/>
      <c r="AU22" s="35"/>
      <c r="AV22" s="35"/>
      <c r="AW22" s="35"/>
      <c r="AX22" s="35"/>
      <c r="AY22" s="35"/>
      <c r="AZ22" s="35"/>
      <c r="BA22" s="35"/>
      <c r="BB22" s="35"/>
      <c r="BC22" s="35"/>
      <c r="BD22" s="35"/>
      <c r="BE22" s="35"/>
      <c r="BF22" s="35"/>
    </row>
    <row r="23" spans="1:58" ht="11.25" customHeight="1">
      <c r="A23" s="301" t="s">
        <v>916</v>
      </c>
      <c r="E23" s="11"/>
      <c r="F23" s="1406"/>
      <c r="G23" s="1421"/>
      <c r="H23" s="1410" t="s">
        <v>105</v>
      </c>
      <c r="I23" s="1411"/>
      <c r="J23" s="1412"/>
      <c r="K23" s="1413"/>
      <c r="L23" s="1127"/>
      <c r="M23" s="1128"/>
      <c r="N23" s="1423"/>
      <c r="O23" s="1424"/>
      <c r="P23" s="1418"/>
      <c r="Q23" s="1377"/>
      <c r="R23" s="1377"/>
      <c r="S23" s="1409"/>
      <c r="T23" s="1377"/>
      <c r="U23" s="1377"/>
      <c r="V23" s="1377"/>
      <c r="W23" s="1377"/>
      <c r="X23" s="1377"/>
      <c r="Y23" s="1377"/>
      <c r="Z23" s="664"/>
      <c r="AA23" s="665"/>
      <c r="AB23" s="108" t="s">
        <v>952</v>
      </c>
      <c r="AC23" s="669"/>
      <c r="AD23" s="669"/>
      <c r="AE23" s="671"/>
      <c r="AF23" s="1408"/>
      <c r="AG23" s="1403"/>
      <c r="AH23" s="1403"/>
      <c r="AI23" s="1408"/>
      <c r="AJ23" s="1403"/>
      <c r="AK23" s="1403"/>
      <c r="AL23" s="703"/>
      <c r="AM23" s="35"/>
      <c r="AN23" s="35"/>
      <c r="AO23" s="35"/>
      <c r="AP23" s="35"/>
      <c r="AQ23" s="35"/>
      <c r="AR23" s="35"/>
      <c r="AS23" s="35"/>
      <c r="AT23" s="35"/>
      <c r="AU23" s="35"/>
      <c r="AV23" s="35"/>
      <c r="AW23" s="35"/>
      <c r="AX23" s="35"/>
      <c r="AY23" s="35"/>
      <c r="AZ23" s="35"/>
      <c r="BA23" s="35"/>
      <c r="BB23" s="35"/>
      <c r="BC23" s="35"/>
      <c r="BD23" s="35"/>
      <c r="BE23" s="35"/>
      <c r="BF23" s="35"/>
    </row>
    <row r="24" spans="1:58" ht="11.25" customHeight="1">
      <c r="A24" s="301" t="s">
        <v>916</v>
      </c>
      <c r="E24" s="11"/>
      <c r="F24" s="1406"/>
      <c r="G24" s="1421"/>
      <c r="H24" s="1410" t="s">
        <v>105</v>
      </c>
      <c r="I24" s="1411"/>
      <c r="J24" s="1412"/>
      <c r="K24" s="1413"/>
      <c r="L24" s="1127"/>
      <c r="M24" s="1128"/>
      <c r="N24" s="664"/>
      <c r="O24" s="665"/>
      <c r="P24" s="108" t="s">
        <v>953</v>
      </c>
      <c r="Q24" s="665"/>
      <c r="R24" s="665"/>
      <c r="S24" s="665"/>
      <c r="T24" s="665"/>
      <c r="U24" s="665"/>
      <c r="V24" s="665"/>
      <c r="W24" s="665"/>
      <c r="X24" s="665"/>
      <c r="Y24" s="665"/>
      <c r="Z24" s="665"/>
      <c r="AA24" s="665"/>
      <c r="AB24" s="665"/>
      <c r="AC24" s="665"/>
      <c r="AD24" s="665"/>
      <c r="AE24" s="672"/>
      <c r="AF24" s="1408"/>
      <c r="AG24" s="1403"/>
      <c r="AH24" s="1403"/>
      <c r="AI24" s="1408"/>
      <c r="AJ24" s="1403"/>
      <c r="AK24" s="1403"/>
      <c r="AL24" s="703"/>
      <c r="AM24" s="35"/>
      <c r="AN24" s="35"/>
      <c r="AO24" s="35"/>
      <c r="AP24" s="35"/>
      <c r="AQ24" s="35"/>
      <c r="AR24" s="35"/>
      <c r="AS24" s="35"/>
      <c r="AT24" s="35"/>
      <c r="AU24" s="35"/>
      <c r="AV24" s="35"/>
      <c r="AW24" s="35"/>
      <c r="AX24" s="35"/>
      <c r="AY24" s="35"/>
      <c r="AZ24" s="35"/>
      <c r="BA24" s="35"/>
      <c r="BB24" s="35"/>
      <c r="BC24" s="35"/>
      <c r="BD24" s="35"/>
      <c r="BE24" s="35"/>
      <c r="BF24" s="35"/>
    </row>
    <row r="25" spans="1:58" ht="11.25" customHeight="1">
      <c r="A25" s="301" t="s">
        <v>916</v>
      </c>
      <c r="E25" s="11"/>
      <c r="F25" s="1406"/>
      <c r="G25" s="1395" t="s">
        <v>117</v>
      </c>
      <c r="H25" s="1410" t="s">
        <v>86</v>
      </c>
      <c r="I25" s="1411"/>
      <c r="J25" s="1412"/>
      <c r="K25" s="1413" t="s">
        <v>955</v>
      </c>
      <c r="L25" s="1127" t="s">
        <v>52</v>
      </c>
      <c r="M25" s="1128"/>
      <c r="N25" s="1046"/>
      <c r="O25" s="666" t="s">
        <v>375</v>
      </c>
      <c r="P25" s="667"/>
      <c r="Q25" s="667"/>
      <c r="R25" s="667"/>
      <c r="S25" s="667"/>
      <c r="T25" s="667"/>
      <c r="U25" s="667"/>
      <c r="V25" s="667"/>
      <c r="W25" s="667"/>
      <c r="X25" s="667"/>
      <c r="Y25" s="667"/>
      <c r="Z25" s="667"/>
      <c r="AA25" s="667"/>
      <c r="AB25" s="667"/>
      <c r="AC25" s="667"/>
      <c r="AD25" s="667"/>
      <c r="AE25" s="667"/>
      <c r="AF25" s="1408">
        <v>2026</v>
      </c>
      <c r="AG25" s="1403" t="s">
        <v>949</v>
      </c>
      <c r="AH25" s="1403" t="s">
        <v>950</v>
      </c>
      <c r="AI25" s="1408">
        <v>2026</v>
      </c>
      <c r="AJ25" s="1403" t="s">
        <v>949</v>
      </c>
      <c r="AK25" s="1403" t="s">
        <v>950</v>
      </c>
      <c r="AL25" s="703"/>
      <c r="AM25" s="35"/>
      <c r="AN25" s="35"/>
      <c r="AO25" s="35"/>
      <c r="AP25" s="35"/>
      <c r="AQ25" s="35"/>
      <c r="AR25" s="35"/>
      <c r="AS25" s="35"/>
      <c r="AT25" s="35"/>
      <c r="AU25" s="35"/>
      <c r="AV25" s="35"/>
      <c r="AW25" s="35"/>
      <c r="AX25" s="35"/>
      <c r="AY25" s="35"/>
      <c r="AZ25" s="35"/>
      <c r="BA25" s="35"/>
      <c r="BB25" s="35"/>
      <c r="BC25" s="35"/>
      <c r="BD25" s="35"/>
      <c r="BE25" s="35"/>
      <c r="BF25" s="35"/>
    </row>
    <row r="26" spans="1:58" ht="11.25" customHeight="1">
      <c r="A26" s="301" t="s">
        <v>916</v>
      </c>
      <c r="E26" s="11"/>
      <c r="F26" s="1406"/>
      <c r="G26" s="1421"/>
      <c r="H26" s="1410" t="s">
        <v>106</v>
      </c>
      <c r="I26" s="1411"/>
      <c r="J26" s="1412"/>
      <c r="K26" s="1413"/>
      <c r="L26" s="1127"/>
      <c r="M26" s="1128"/>
      <c r="N26" s="1423"/>
      <c r="O26" s="1424">
        <v>1</v>
      </c>
      <c r="P26" s="1416" t="s">
        <v>52</v>
      </c>
      <c r="Q26" s="1377" t="s">
        <v>18</v>
      </c>
      <c r="R26" s="1377" t="s">
        <v>18</v>
      </c>
      <c r="S26" s="1377" t="s">
        <v>18</v>
      </c>
      <c r="T26" s="1377" t="s">
        <v>18</v>
      </c>
      <c r="U26" s="1377" t="s">
        <v>18</v>
      </c>
      <c r="V26" s="1377" t="s">
        <v>18</v>
      </c>
      <c r="W26" s="1377" t="s">
        <v>18</v>
      </c>
      <c r="X26" s="1377" t="s">
        <v>18</v>
      </c>
      <c r="Y26" s="1377"/>
      <c r="Z26" s="664"/>
      <c r="AA26" s="665"/>
      <c r="AB26" s="665"/>
      <c r="AC26" s="669"/>
      <c r="AD26" s="669"/>
      <c r="AE26" s="670"/>
      <c r="AF26" s="1408"/>
      <c r="AG26" s="1403"/>
      <c r="AH26" s="1403"/>
      <c r="AI26" s="1408"/>
      <c r="AJ26" s="1403"/>
      <c r="AK26" s="1403"/>
      <c r="AL26" s="703"/>
      <c r="AM26" s="35"/>
      <c r="AN26" s="35"/>
      <c r="AO26" s="35"/>
      <c r="AP26" s="35"/>
      <c r="AQ26" s="35"/>
      <c r="AR26" s="35"/>
      <c r="AS26" s="35"/>
      <c r="AT26" s="35"/>
      <c r="AU26" s="35"/>
      <c r="AV26" s="35"/>
      <c r="AW26" s="35"/>
      <c r="AX26" s="35"/>
      <c r="AY26" s="35"/>
      <c r="AZ26" s="35"/>
      <c r="BA26" s="35"/>
      <c r="BB26" s="35"/>
      <c r="BC26" s="35"/>
      <c r="BD26" s="35"/>
      <c r="BE26" s="35"/>
      <c r="BF26" s="35"/>
    </row>
    <row r="27" spans="1:58" ht="11.25" customHeight="1">
      <c r="A27" s="301" t="s">
        <v>916</v>
      </c>
      <c r="E27" s="11"/>
      <c r="F27" s="1406"/>
      <c r="G27" s="1421"/>
      <c r="H27" s="1410" t="s">
        <v>106</v>
      </c>
      <c r="I27" s="1411"/>
      <c r="J27" s="1412"/>
      <c r="K27" s="1413"/>
      <c r="L27" s="1127"/>
      <c r="M27" s="1128"/>
      <c r="N27" s="1423"/>
      <c r="O27" s="1424"/>
      <c r="P27" s="1417"/>
      <c r="Q27" s="1377"/>
      <c r="R27" s="1377"/>
      <c r="S27" s="1409"/>
      <c r="T27" s="1377"/>
      <c r="U27" s="1377"/>
      <c r="V27" s="1377"/>
      <c r="W27" s="1377"/>
      <c r="X27" s="1377"/>
      <c r="Y27" s="1377"/>
      <c r="Z27" s="978"/>
      <c r="AA27" s="969">
        <v>1</v>
      </c>
      <c r="AB27" s="668" t="s">
        <v>951</v>
      </c>
      <c r="AC27" s="371">
        <v>85859.63</v>
      </c>
      <c r="AD27" s="668" t="str">
        <f>AB27</f>
        <v xml:space="preserve">      Прочие амортизационные отчисления</v>
      </c>
      <c r="AE27" s="371">
        <v>81190.429999999993</v>
      </c>
      <c r="AF27" s="1408"/>
      <c r="AG27" s="1403"/>
      <c r="AH27" s="1403"/>
      <c r="AI27" s="1408"/>
      <c r="AJ27" s="1403"/>
      <c r="AK27" s="1403"/>
      <c r="AL27" s="703"/>
      <c r="AM27" s="35"/>
      <c r="AN27" s="35"/>
      <c r="AO27" s="35"/>
      <c r="AP27" s="35"/>
      <c r="AQ27" s="35"/>
      <c r="AR27" s="35"/>
      <c r="AS27" s="35"/>
      <c r="AT27" s="35"/>
      <c r="AU27" s="35"/>
      <c r="AV27" s="35"/>
      <c r="AW27" s="35"/>
      <c r="AX27" s="35"/>
      <c r="AY27" s="35"/>
      <c r="AZ27" s="35"/>
      <c r="BA27" s="35"/>
      <c r="BB27" s="35"/>
      <c r="BC27" s="35"/>
      <c r="BD27" s="35"/>
      <c r="BE27" s="35"/>
      <c r="BF27" s="35"/>
    </row>
    <row r="28" spans="1:58" ht="11.25" customHeight="1">
      <c r="A28" s="301" t="s">
        <v>916</v>
      </c>
      <c r="E28" s="11"/>
      <c r="F28" s="1406"/>
      <c r="G28" s="1421"/>
      <c r="H28" s="1410" t="s">
        <v>106</v>
      </c>
      <c r="I28" s="1411"/>
      <c r="J28" s="1412"/>
      <c r="K28" s="1413"/>
      <c r="L28" s="1127"/>
      <c r="M28" s="1128"/>
      <c r="N28" s="1423"/>
      <c r="O28" s="1424"/>
      <c r="P28" s="1418"/>
      <c r="Q28" s="1377"/>
      <c r="R28" s="1377"/>
      <c r="S28" s="1409"/>
      <c r="T28" s="1377"/>
      <c r="U28" s="1377"/>
      <c r="V28" s="1377"/>
      <c r="W28" s="1377"/>
      <c r="X28" s="1377"/>
      <c r="Y28" s="1377"/>
      <c r="Z28" s="664"/>
      <c r="AA28" s="665"/>
      <c r="AB28" s="108" t="s">
        <v>952</v>
      </c>
      <c r="AC28" s="669"/>
      <c r="AD28" s="669"/>
      <c r="AE28" s="671"/>
      <c r="AF28" s="1408"/>
      <c r="AG28" s="1403"/>
      <c r="AH28" s="1403"/>
      <c r="AI28" s="1408"/>
      <c r="AJ28" s="1403"/>
      <c r="AK28" s="1403"/>
      <c r="AL28" s="703"/>
      <c r="AM28" s="35"/>
      <c r="AN28" s="35"/>
      <c r="AO28" s="35"/>
      <c r="AP28" s="35"/>
      <c r="AQ28" s="35"/>
      <c r="AR28" s="35"/>
      <c r="AS28" s="35"/>
      <c r="AT28" s="35"/>
      <c r="AU28" s="35"/>
      <c r="AV28" s="35"/>
      <c r="AW28" s="35"/>
      <c r="AX28" s="35"/>
      <c r="AY28" s="35"/>
      <c r="AZ28" s="35"/>
      <c r="BA28" s="35"/>
      <c r="BB28" s="35"/>
      <c r="BC28" s="35"/>
      <c r="BD28" s="35"/>
      <c r="BE28" s="35"/>
      <c r="BF28" s="35"/>
    </row>
    <row r="29" spans="1:58" ht="11.25" customHeight="1">
      <c r="A29" s="301" t="s">
        <v>916</v>
      </c>
      <c r="E29" s="11"/>
      <c r="F29" s="1406"/>
      <c r="G29" s="1421"/>
      <c r="H29" s="1410" t="s">
        <v>106</v>
      </c>
      <c r="I29" s="1411"/>
      <c r="J29" s="1412"/>
      <c r="K29" s="1413"/>
      <c r="L29" s="1127"/>
      <c r="M29" s="1128"/>
      <c r="N29" s="664"/>
      <c r="O29" s="665"/>
      <c r="P29" s="108" t="s">
        <v>953</v>
      </c>
      <c r="Q29" s="665"/>
      <c r="R29" s="665"/>
      <c r="S29" s="665"/>
      <c r="T29" s="665"/>
      <c r="U29" s="665"/>
      <c r="V29" s="665"/>
      <c r="W29" s="665"/>
      <c r="X29" s="665"/>
      <c r="Y29" s="665"/>
      <c r="Z29" s="665"/>
      <c r="AA29" s="665"/>
      <c r="AB29" s="665"/>
      <c r="AC29" s="665"/>
      <c r="AD29" s="665"/>
      <c r="AE29" s="672"/>
      <c r="AF29" s="1408"/>
      <c r="AG29" s="1403"/>
      <c r="AH29" s="1403"/>
      <c r="AI29" s="1408"/>
      <c r="AJ29" s="1403"/>
      <c r="AK29" s="1403"/>
      <c r="AL29" s="703"/>
      <c r="AM29" s="35"/>
      <c r="AN29" s="35"/>
      <c r="AO29" s="35"/>
      <c r="AP29" s="35"/>
      <c r="AQ29" s="35"/>
      <c r="AR29" s="35"/>
      <c r="AS29" s="35"/>
      <c r="AT29" s="35"/>
      <c r="AU29" s="35"/>
      <c r="AV29" s="35"/>
      <c r="AW29" s="35"/>
      <c r="AX29" s="35"/>
      <c r="AY29" s="35"/>
      <c r="AZ29" s="35"/>
      <c r="BA29" s="35"/>
      <c r="BB29" s="35"/>
      <c r="BC29" s="35"/>
      <c r="BD29" s="35"/>
      <c r="BE29" s="35"/>
      <c r="BF29" s="35"/>
    </row>
    <row r="30" spans="1:58" ht="11.25" customHeight="1">
      <c r="A30" s="301" t="s">
        <v>916</v>
      </c>
      <c r="E30" s="11"/>
      <c r="F30" s="1406"/>
      <c r="G30" s="1395" t="s">
        <v>117</v>
      </c>
      <c r="H30" s="1410" t="s">
        <v>87</v>
      </c>
      <c r="I30" s="1411"/>
      <c r="J30" s="1412"/>
      <c r="K30" s="1413" t="s">
        <v>956</v>
      </c>
      <c r="L30" s="1127" t="s">
        <v>52</v>
      </c>
      <c r="M30" s="1128"/>
      <c r="N30" s="1046"/>
      <c r="O30" s="666" t="s">
        <v>375</v>
      </c>
      <c r="P30" s="667"/>
      <c r="Q30" s="667"/>
      <c r="R30" s="667"/>
      <c r="S30" s="667"/>
      <c r="T30" s="667"/>
      <c r="U30" s="667"/>
      <c r="V30" s="667"/>
      <c r="W30" s="667"/>
      <c r="X30" s="667"/>
      <c r="Y30" s="667"/>
      <c r="Z30" s="667"/>
      <c r="AA30" s="667"/>
      <c r="AB30" s="667"/>
      <c r="AC30" s="667"/>
      <c r="AD30" s="667"/>
      <c r="AE30" s="667"/>
      <c r="AF30" s="1408">
        <v>2023</v>
      </c>
      <c r="AG30" s="1403" t="s">
        <v>949</v>
      </c>
      <c r="AH30" s="1403" t="s">
        <v>950</v>
      </c>
      <c r="AI30" s="1408">
        <v>2023</v>
      </c>
      <c r="AJ30" s="1403" t="s">
        <v>949</v>
      </c>
      <c r="AK30" s="1403" t="s">
        <v>950</v>
      </c>
      <c r="AL30" s="703"/>
      <c r="AM30" s="35"/>
      <c r="AN30" s="35"/>
      <c r="AO30" s="35"/>
      <c r="AP30" s="35"/>
      <c r="AQ30" s="35"/>
      <c r="AR30" s="35"/>
      <c r="AS30" s="35"/>
      <c r="AT30" s="35"/>
      <c r="AU30" s="35"/>
      <c r="AV30" s="35"/>
      <c r="AW30" s="35"/>
      <c r="AX30" s="35"/>
      <c r="AY30" s="35"/>
      <c r="AZ30" s="35"/>
      <c r="BA30" s="35"/>
      <c r="BB30" s="35"/>
      <c r="BC30" s="35"/>
      <c r="BD30" s="35"/>
      <c r="BE30" s="35"/>
      <c r="BF30" s="35"/>
    </row>
    <row r="31" spans="1:58" ht="11.25" customHeight="1">
      <c r="A31" s="301" t="s">
        <v>916</v>
      </c>
      <c r="E31" s="11"/>
      <c r="F31" s="1406"/>
      <c r="G31" s="1421"/>
      <c r="H31" s="1410" t="s">
        <v>86</v>
      </c>
      <c r="I31" s="1411"/>
      <c r="J31" s="1412"/>
      <c r="K31" s="1413"/>
      <c r="L31" s="1127"/>
      <c r="M31" s="1128"/>
      <c r="N31" s="1423"/>
      <c r="O31" s="1424">
        <v>1</v>
      </c>
      <c r="P31" s="1416" t="s">
        <v>52</v>
      </c>
      <c r="Q31" s="1377" t="s">
        <v>18</v>
      </c>
      <c r="R31" s="1377" t="s">
        <v>18</v>
      </c>
      <c r="S31" s="1377" t="s">
        <v>18</v>
      </c>
      <c r="T31" s="1377" t="s">
        <v>18</v>
      </c>
      <c r="U31" s="1377" t="s">
        <v>18</v>
      </c>
      <c r="V31" s="1377" t="s">
        <v>18</v>
      </c>
      <c r="W31" s="1377" t="s">
        <v>18</v>
      </c>
      <c r="X31" s="1377" t="s">
        <v>18</v>
      </c>
      <c r="Y31" s="1377"/>
      <c r="Z31" s="664"/>
      <c r="AA31" s="665"/>
      <c r="AB31" s="665"/>
      <c r="AC31" s="669"/>
      <c r="AD31" s="669"/>
      <c r="AE31" s="670"/>
      <c r="AF31" s="1408"/>
      <c r="AG31" s="1403"/>
      <c r="AH31" s="1403"/>
      <c r="AI31" s="1408"/>
      <c r="AJ31" s="1403"/>
      <c r="AK31" s="1403"/>
      <c r="AL31" s="703"/>
      <c r="AM31" s="35"/>
      <c r="AN31" s="35"/>
      <c r="AO31" s="35"/>
      <c r="AP31" s="35"/>
      <c r="AQ31" s="35"/>
      <c r="AR31" s="35"/>
      <c r="AS31" s="35"/>
      <c r="AT31" s="35"/>
      <c r="AU31" s="35"/>
      <c r="AV31" s="35"/>
      <c r="AW31" s="35"/>
      <c r="AX31" s="35"/>
      <c r="AY31" s="35"/>
      <c r="AZ31" s="35"/>
      <c r="BA31" s="35"/>
      <c r="BB31" s="35"/>
      <c r="BC31" s="35"/>
      <c r="BD31" s="35"/>
      <c r="BE31" s="35"/>
      <c r="BF31" s="35"/>
    </row>
    <row r="32" spans="1:58" ht="11.25" customHeight="1">
      <c r="A32" s="301" t="s">
        <v>916</v>
      </c>
      <c r="E32" s="11"/>
      <c r="F32" s="1406"/>
      <c r="G32" s="1421"/>
      <c r="H32" s="1410" t="s">
        <v>86</v>
      </c>
      <c r="I32" s="1411"/>
      <c r="J32" s="1412"/>
      <c r="K32" s="1413"/>
      <c r="L32" s="1127"/>
      <c r="M32" s="1128"/>
      <c r="N32" s="1423"/>
      <c r="O32" s="1424"/>
      <c r="P32" s="1417"/>
      <c r="Q32" s="1377"/>
      <c r="R32" s="1377"/>
      <c r="S32" s="1409"/>
      <c r="T32" s="1377"/>
      <c r="U32" s="1377"/>
      <c r="V32" s="1377"/>
      <c r="W32" s="1377"/>
      <c r="X32" s="1377"/>
      <c r="Y32" s="1377"/>
      <c r="Z32" s="978"/>
      <c r="AA32" s="969">
        <v>1</v>
      </c>
      <c r="AB32" s="668" t="s">
        <v>951</v>
      </c>
      <c r="AC32" s="371">
        <v>55849.11</v>
      </c>
      <c r="AD32" s="668" t="str">
        <f>AB32</f>
        <v xml:space="preserve">      Прочие амортизационные отчисления</v>
      </c>
      <c r="AE32" s="371">
        <v>49947.92</v>
      </c>
      <c r="AF32" s="1408"/>
      <c r="AG32" s="1403"/>
      <c r="AH32" s="1403"/>
      <c r="AI32" s="1408"/>
      <c r="AJ32" s="1403"/>
      <c r="AK32" s="1403"/>
      <c r="AL32" s="703"/>
      <c r="AM32" s="35"/>
      <c r="AN32" s="35"/>
      <c r="AO32" s="35"/>
      <c r="AP32" s="35"/>
      <c r="AQ32" s="35"/>
      <c r="AR32" s="35"/>
      <c r="AS32" s="35"/>
      <c r="AT32" s="35"/>
      <c r="AU32" s="35"/>
      <c r="AV32" s="35"/>
      <c r="AW32" s="35"/>
      <c r="AX32" s="35"/>
      <c r="AY32" s="35"/>
      <c r="AZ32" s="35"/>
      <c r="BA32" s="35"/>
      <c r="BB32" s="35"/>
      <c r="BC32" s="35"/>
      <c r="BD32" s="35"/>
      <c r="BE32" s="35"/>
      <c r="BF32" s="35"/>
    </row>
    <row r="33" spans="1:58" ht="11.25" customHeight="1">
      <c r="A33" s="301" t="s">
        <v>916</v>
      </c>
      <c r="E33" s="11"/>
      <c r="F33" s="1406"/>
      <c r="G33" s="1421"/>
      <c r="H33" s="1410" t="s">
        <v>86</v>
      </c>
      <c r="I33" s="1411"/>
      <c r="J33" s="1412"/>
      <c r="K33" s="1413"/>
      <c r="L33" s="1127"/>
      <c r="M33" s="1128"/>
      <c r="N33" s="1423"/>
      <c r="O33" s="1424"/>
      <c r="P33" s="1418"/>
      <c r="Q33" s="1377"/>
      <c r="R33" s="1377"/>
      <c r="S33" s="1409"/>
      <c r="T33" s="1377"/>
      <c r="U33" s="1377"/>
      <c r="V33" s="1377"/>
      <c r="W33" s="1377"/>
      <c r="X33" s="1377"/>
      <c r="Y33" s="1377"/>
      <c r="Z33" s="664"/>
      <c r="AA33" s="665"/>
      <c r="AB33" s="108" t="s">
        <v>952</v>
      </c>
      <c r="AC33" s="669"/>
      <c r="AD33" s="669"/>
      <c r="AE33" s="671"/>
      <c r="AF33" s="1408"/>
      <c r="AG33" s="1403"/>
      <c r="AH33" s="1403"/>
      <c r="AI33" s="1408"/>
      <c r="AJ33" s="1403"/>
      <c r="AK33" s="1403"/>
      <c r="AL33" s="703"/>
      <c r="AM33" s="35"/>
      <c r="AN33" s="35"/>
      <c r="AO33" s="35"/>
      <c r="AP33" s="35"/>
      <c r="AQ33" s="35"/>
      <c r="AR33" s="35"/>
      <c r="AS33" s="35"/>
      <c r="AT33" s="35"/>
      <c r="AU33" s="35"/>
      <c r="AV33" s="35"/>
      <c r="AW33" s="35"/>
      <c r="AX33" s="35"/>
      <c r="AY33" s="35"/>
      <c r="AZ33" s="35"/>
      <c r="BA33" s="35"/>
      <c r="BB33" s="35"/>
      <c r="BC33" s="35"/>
      <c r="BD33" s="35"/>
      <c r="BE33" s="35"/>
      <c r="BF33" s="35"/>
    </row>
    <row r="34" spans="1:58" ht="11.25" customHeight="1">
      <c r="A34" s="301" t="s">
        <v>916</v>
      </c>
      <c r="E34" s="11"/>
      <c r="F34" s="1406"/>
      <c r="G34" s="1421"/>
      <c r="H34" s="1410" t="s">
        <v>86</v>
      </c>
      <c r="I34" s="1411"/>
      <c r="J34" s="1412"/>
      <c r="K34" s="1413"/>
      <c r="L34" s="1127"/>
      <c r="M34" s="1128"/>
      <c r="N34" s="664"/>
      <c r="O34" s="665"/>
      <c r="P34" s="108" t="s">
        <v>953</v>
      </c>
      <c r="Q34" s="665"/>
      <c r="R34" s="665"/>
      <c r="S34" s="665"/>
      <c r="T34" s="665"/>
      <c r="U34" s="665"/>
      <c r="V34" s="665"/>
      <c r="W34" s="665"/>
      <c r="X34" s="665"/>
      <c r="Y34" s="665"/>
      <c r="Z34" s="665"/>
      <c r="AA34" s="665"/>
      <c r="AB34" s="665"/>
      <c r="AC34" s="665"/>
      <c r="AD34" s="665"/>
      <c r="AE34" s="672"/>
      <c r="AF34" s="1408"/>
      <c r="AG34" s="1403"/>
      <c r="AH34" s="1403"/>
      <c r="AI34" s="1408"/>
      <c r="AJ34" s="1403"/>
      <c r="AK34" s="1403"/>
      <c r="AL34" s="703"/>
      <c r="AM34" s="35"/>
      <c r="AN34" s="35"/>
      <c r="AO34" s="35"/>
      <c r="AP34" s="35"/>
      <c r="AQ34" s="35"/>
      <c r="AR34" s="35"/>
      <c r="AS34" s="35"/>
      <c r="AT34" s="35"/>
      <c r="AU34" s="35"/>
      <c r="AV34" s="35"/>
      <c r="AW34" s="35"/>
      <c r="AX34" s="35"/>
      <c r="AY34" s="35"/>
      <c r="AZ34" s="35"/>
      <c r="BA34" s="35"/>
      <c r="BB34" s="35"/>
      <c r="BC34" s="35"/>
      <c r="BD34" s="35"/>
      <c r="BE34" s="35"/>
      <c r="BF34" s="35"/>
    </row>
    <row r="35" spans="1:58" ht="11.25" customHeight="1">
      <c r="A35" s="301" t="s">
        <v>916</v>
      </c>
      <c r="E35" s="11"/>
      <c r="F35" s="1406"/>
      <c r="G35" s="1395" t="s">
        <v>117</v>
      </c>
      <c r="H35" s="1410" t="s">
        <v>107</v>
      </c>
      <c r="I35" s="1411"/>
      <c r="J35" s="1412"/>
      <c r="K35" s="1413" t="s">
        <v>957</v>
      </c>
      <c r="L35" s="1127" t="s">
        <v>52</v>
      </c>
      <c r="M35" s="1128"/>
      <c r="N35" s="1046"/>
      <c r="O35" s="666" t="s">
        <v>375</v>
      </c>
      <c r="P35" s="667"/>
      <c r="Q35" s="667"/>
      <c r="R35" s="667"/>
      <c r="S35" s="667"/>
      <c r="T35" s="667"/>
      <c r="U35" s="667"/>
      <c r="V35" s="667"/>
      <c r="W35" s="667"/>
      <c r="X35" s="667"/>
      <c r="Y35" s="667"/>
      <c r="Z35" s="667"/>
      <c r="AA35" s="667"/>
      <c r="AB35" s="667"/>
      <c r="AC35" s="667"/>
      <c r="AD35" s="667"/>
      <c r="AE35" s="667"/>
      <c r="AF35" s="1408">
        <v>2022</v>
      </c>
      <c r="AG35" s="1403" t="s">
        <v>949</v>
      </c>
      <c r="AH35" s="1403" t="s">
        <v>950</v>
      </c>
      <c r="AI35" s="1408">
        <v>2022</v>
      </c>
      <c r="AJ35" s="1403" t="s">
        <v>949</v>
      </c>
      <c r="AK35" s="1403" t="s">
        <v>950</v>
      </c>
      <c r="AL35" s="703"/>
      <c r="AM35" s="35"/>
      <c r="AN35" s="35"/>
      <c r="AO35" s="35"/>
      <c r="AP35" s="35"/>
      <c r="AQ35" s="35"/>
      <c r="AR35" s="35"/>
      <c r="AS35" s="35"/>
      <c r="AT35" s="35"/>
      <c r="AU35" s="35"/>
      <c r="AV35" s="35"/>
      <c r="AW35" s="35"/>
      <c r="AX35" s="35"/>
      <c r="AY35" s="35"/>
      <c r="AZ35" s="35"/>
      <c r="BA35" s="35"/>
      <c r="BB35" s="35"/>
      <c r="BC35" s="35"/>
      <c r="BD35" s="35"/>
      <c r="BE35" s="35"/>
      <c r="BF35" s="35"/>
    </row>
    <row r="36" spans="1:58" ht="11.25" customHeight="1">
      <c r="A36" s="301" t="s">
        <v>916</v>
      </c>
      <c r="E36" s="11"/>
      <c r="F36" s="1406"/>
      <c r="G36" s="1421"/>
      <c r="H36" s="1410" t="s">
        <v>87</v>
      </c>
      <c r="I36" s="1411"/>
      <c r="J36" s="1412"/>
      <c r="K36" s="1413"/>
      <c r="L36" s="1127"/>
      <c r="M36" s="1128"/>
      <c r="N36" s="1423"/>
      <c r="O36" s="1424">
        <v>1</v>
      </c>
      <c r="P36" s="1416" t="s">
        <v>52</v>
      </c>
      <c r="Q36" s="1377" t="s">
        <v>18</v>
      </c>
      <c r="R36" s="1377" t="s">
        <v>18</v>
      </c>
      <c r="S36" s="1377" t="s">
        <v>18</v>
      </c>
      <c r="T36" s="1377" t="s">
        <v>18</v>
      </c>
      <c r="U36" s="1377" t="s">
        <v>18</v>
      </c>
      <c r="V36" s="1377" t="s">
        <v>18</v>
      </c>
      <c r="W36" s="1377" t="s">
        <v>18</v>
      </c>
      <c r="X36" s="1377" t="s">
        <v>18</v>
      </c>
      <c r="Y36" s="1377"/>
      <c r="Z36" s="664"/>
      <c r="AA36" s="665"/>
      <c r="AB36" s="665"/>
      <c r="AC36" s="669"/>
      <c r="AD36" s="669"/>
      <c r="AE36" s="670"/>
      <c r="AF36" s="1408"/>
      <c r="AG36" s="1403"/>
      <c r="AH36" s="1403"/>
      <c r="AI36" s="1408"/>
      <c r="AJ36" s="1403"/>
      <c r="AK36" s="1403"/>
      <c r="AL36" s="703"/>
      <c r="AM36" s="35"/>
      <c r="AN36" s="35"/>
      <c r="AO36" s="35"/>
      <c r="AP36" s="35"/>
      <c r="AQ36" s="35"/>
      <c r="AR36" s="35"/>
      <c r="AS36" s="35"/>
      <c r="AT36" s="35"/>
      <c r="AU36" s="35"/>
      <c r="AV36" s="35"/>
      <c r="AW36" s="35"/>
      <c r="AX36" s="35"/>
      <c r="AY36" s="35"/>
      <c r="AZ36" s="35"/>
      <c r="BA36" s="35"/>
      <c r="BB36" s="35"/>
      <c r="BC36" s="35"/>
      <c r="BD36" s="35"/>
      <c r="BE36" s="35"/>
      <c r="BF36" s="35"/>
    </row>
    <row r="37" spans="1:58" ht="11.25" customHeight="1">
      <c r="A37" s="301" t="s">
        <v>916</v>
      </c>
      <c r="E37" s="11"/>
      <c r="F37" s="1406"/>
      <c r="G37" s="1421"/>
      <c r="H37" s="1410" t="s">
        <v>87</v>
      </c>
      <c r="I37" s="1411"/>
      <c r="J37" s="1412"/>
      <c r="K37" s="1413"/>
      <c r="L37" s="1127"/>
      <c r="M37" s="1128"/>
      <c r="N37" s="1423"/>
      <c r="O37" s="1424"/>
      <c r="P37" s="1417"/>
      <c r="Q37" s="1377"/>
      <c r="R37" s="1377"/>
      <c r="S37" s="1409"/>
      <c r="T37" s="1377"/>
      <c r="U37" s="1377"/>
      <c r="V37" s="1377"/>
      <c r="W37" s="1377"/>
      <c r="X37" s="1377"/>
      <c r="Y37" s="1377"/>
      <c r="Z37" s="978"/>
      <c r="AA37" s="969">
        <v>1</v>
      </c>
      <c r="AB37" s="668" t="s">
        <v>951</v>
      </c>
      <c r="AC37" s="371">
        <v>6979.16</v>
      </c>
      <c r="AD37" s="668" t="str">
        <f>AB37</f>
        <v xml:space="preserve">      Прочие амортизационные отчисления</v>
      </c>
      <c r="AE37" s="371">
        <v>6114.71</v>
      </c>
      <c r="AF37" s="1408"/>
      <c r="AG37" s="1403"/>
      <c r="AH37" s="1403"/>
      <c r="AI37" s="1408"/>
      <c r="AJ37" s="1403"/>
      <c r="AK37" s="1403"/>
      <c r="AL37" s="703"/>
      <c r="AM37" s="35"/>
      <c r="AN37" s="35"/>
      <c r="AO37" s="35"/>
      <c r="AP37" s="35"/>
      <c r="AQ37" s="35"/>
      <c r="AR37" s="35"/>
      <c r="AS37" s="35"/>
      <c r="AT37" s="35"/>
      <c r="AU37" s="35"/>
      <c r="AV37" s="35"/>
      <c r="AW37" s="35"/>
      <c r="AX37" s="35"/>
      <c r="AY37" s="35"/>
      <c r="AZ37" s="35"/>
      <c r="BA37" s="35"/>
      <c r="BB37" s="35"/>
      <c r="BC37" s="35"/>
      <c r="BD37" s="35"/>
      <c r="BE37" s="35"/>
      <c r="BF37" s="35"/>
    </row>
    <row r="38" spans="1:58" ht="11.25" customHeight="1">
      <c r="A38" s="301" t="s">
        <v>916</v>
      </c>
      <c r="E38" s="11"/>
      <c r="F38" s="1406"/>
      <c r="G38" s="1421"/>
      <c r="H38" s="1410" t="s">
        <v>87</v>
      </c>
      <c r="I38" s="1411"/>
      <c r="J38" s="1412"/>
      <c r="K38" s="1413"/>
      <c r="L38" s="1127"/>
      <c r="M38" s="1128"/>
      <c r="N38" s="1423"/>
      <c r="O38" s="1424"/>
      <c r="P38" s="1418"/>
      <c r="Q38" s="1377"/>
      <c r="R38" s="1377"/>
      <c r="S38" s="1409"/>
      <c r="T38" s="1377"/>
      <c r="U38" s="1377"/>
      <c r="V38" s="1377"/>
      <c r="W38" s="1377"/>
      <c r="X38" s="1377"/>
      <c r="Y38" s="1377"/>
      <c r="Z38" s="664"/>
      <c r="AA38" s="665"/>
      <c r="AB38" s="108" t="s">
        <v>952</v>
      </c>
      <c r="AC38" s="669"/>
      <c r="AD38" s="669"/>
      <c r="AE38" s="671"/>
      <c r="AF38" s="1408"/>
      <c r="AG38" s="1403"/>
      <c r="AH38" s="1403"/>
      <c r="AI38" s="1408"/>
      <c r="AJ38" s="1403"/>
      <c r="AK38" s="1403"/>
      <c r="AL38" s="703"/>
      <c r="AM38" s="35"/>
      <c r="AN38" s="35"/>
      <c r="AO38" s="35"/>
      <c r="AP38" s="35"/>
      <c r="AQ38" s="35"/>
      <c r="AR38" s="35"/>
      <c r="AS38" s="35"/>
      <c r="AT38" s="35"/>
      <c r="AU38" s="35"/>
      <c r="AV38" s="35"/>
      <c r="AW38" s="35"/>
      <c r="AX38" s="35"/>
      <c r="AY38" s="35"/>
      <c r="AZ38" s="35"/>
      <c r="BA38" s="35"/>
      <c r="BB38" s="35"/>
      <c r="BC38" s="35"/>
      <c r="BD38" s="35"/>
      <c r="BE38" s="35"/>
      <c r="BF38" s="35"/>
    </row>
    <row r="39" spans="1:58" ht="11.25" customHeight="1">
      <c r="A39" s="301" t="s">
        <v>916</v>
      </c>
      <c r="E39" s="11"/>
      <c r="F39" s="1406"/>
      <c r="G39" s="1421"/>
      <c r="H39" s="1410" t="s">
        <v>87</v>
      </c>
      <c r="I39" s="1411"/>
      <c r="J39" s="1412"/>
      <c r="K39" s="1413"/>
      <c r="L39" s="1127"/>
      <c r="M39" s="1128"/>
      <c r="N39" s="664"/>
      <c r="O39" s="665"/>
      <c r="P39" s="108" t="s">
        <v>953</v>
      </c>
      <c r="Q39" s="665"/>
      <c r="R39" s="665"/>
      <c r="S39" s="665"/>
      <c r="T39" s="665"/>
      <c r="U39" s="665"/>
      <c r="V39" s="665"/>
      <c r="W39" s="665"/>
      <c r="X39" s="665"/>
      <c r="Y39" s="665"/>
      <c r="Z39" s="665"/>
      <c r="AA39" s="665"/>
      <c r="AB39" s="665"/>
      <c r="AC39" s="665"/>
      <c r="AD39" s="665"/>
      <c r="AE39" s="672"/>
      <c r="AF39" s="1408"/>
      <c r="AG39" s="1403"/>
      <c r="AH39" s="1403"/>
      <c r="AI39" s="1408"/>
      <c r="AJ39" s="1403"/>
      <c r="AK39" s="1403"/>
      <c r="AL39" s="703"/>
      <c r="AM39" s="35"/>
      <c r="AN39" s="35"/>
      <c r="AO39" s="35"/>
      <c r="AP39" s="35"/>
      <c r="AQ39" s="35"/>
      <c r="AR39" s="35"/>
      <c r="AS39" s="35"/>
      <c r="AT39" s="35"/>
      <c r="AU39" s="35"/>
      <c r="AV39" s="35"/>
      <c r="AW39" s="35"/>
      <c r="AX39" s="35"/>
      <c r="AY39" s="35"/>
      <c r="AZ39" s="35"/>
      <c r="BA39" s="35"/>
      <c r="BB39" s="35"/>
      <c r="BC39" s="35"/>
      <c r="BD39" s="35"/>
      <c r="BE39" s="35"/>
      <c r="BF39" s="35"/>
    </row>
    <row r="40" spans="1:58" ht="11.25" customHeight="1">
      <c r="A40" s="301" t="s">
        <v>916</v>
      </c>
      <c r="E40" s="11"/>
      <c r="F40" s="1406"/>
      <c r="G40" s="1395" t="s">
        <v>117</v>
      </c>
      <c r="H40" s="1410" t="s">
        <v>88</v>
      </c>
      <c r="I40" s="1411"/>
      <c r="J40" s="1412"/>
      <c r="K40" s="1413" t="s">
        <v>958</v>
      </c>
      <c r="L40" s="1127" t="s">
        <v>52</v>
      </c>
      <c r="M40" s="1128"/>
      <c r="N40" s="1046"/>
      <c r="O40" s="666" t="s">
        <v>375</v>
      </c>
      <c r="P40" s="667"/>
      <c r="Q40" s="667"/>
      <c r="R40" s="667"/>
      <c r="S40" s="667"/>
      <c r="T40" s="667"/>
      <c r="U40" s="667"/>
      <c r="V40" s="667"/>
      <c r="W40" s="667"/>
      <c r="X40" s="667"/>
      <c r="Y40" s="667"/>
      <c r="Z40" s="667"/>
      <c r="AA40" s="667"/>
      <c r="AB40" s="667"/>
      <c r="AC40" s="667"/>
      <c r="AD40" s="667"/>
      <c r="AE40" s="667"/>
      <c r="AF40" s="1408">
        <v>2022</v>
      </c>
      <c r="AG40" s="1403" t="s">
        <v>949</v>
      </c>
      <c r="AH40" s="1403" t="s">
        <v>950</v>
      </c>
      <c r="AI40" s="1408">
        <v>2022</v>
      </c>
      <c r="AJ40" s="1403" t="s">
        <v>949</v>
      </c>
      <c r="AK40" s="1403" t="s">
        <v>950</v>
      </c>
      <c r="AL40" s="703"/>
      <c r="AM40" s="35"/>
      <c r="AN40" s="35"/>
      <c r="AO40" s="35"/>
      <c r="AP40" s="35"/>
      <c r="AQ40" s="35"/>
      <c r="AR40" s="35"/>
      <c r="AS40" s="35"/>
      <c r="AT40" s="35"/>
      <c r="AU40" s="35"/>
      <c r="AV40" s="35"/>
      <c r="AW40" s="35"/>
      <c r="AX40" s="35"/>
      <c r="AY40" s="35"/>
      <c r="AZ40" s="35"/>
      <c r="BA40" s="35"/>
      <c r="BB40" s="35"/>
      <c r="BC40" s="35"/>
      <c r="BD40" s="35"/>
      <c r="BE40" s="35"/>
      <c r="BF40" s="35"/>
    </row>
    <row r="41" spans="1:58" ht="11.25" customHeight="1">
      <c r="A41" s="301" t="s">
        <v>916</v>
      </c>
      <c r="E41" s="11"/>
      <c r="F41" s="1406"/>
      <c r="G41" s="1421"/>
      <c r="H41" s="1410" t="s">
        <v>107</v>
      </c>
      <c r="I41" s="1411"/>
      <c r="J41" s="1412"/>
      <c r="K41" s="1413"/>
      <c r="L41" s="1127"/>
      <c r="M41" s="1128"/>
      <c r="N41" s="1423"/>
      <c r="O41" s="1424">
        <v>1</v>
      </c>
      <c r="P41" s="1416" t="s">
        <v>52</v>
      </c>
      <c r="Q41" s="1377" t="s">
        <v>18</v>
      </c>
      <c r="R41" s="1377" t="s">
        <v>18</v>
      </c>
      <c r="S41" s="1377" t="s">
        <v>18</v>
      </c>
      <c r="T41" s="1377" t="s">
        <v>18</v>
      </c>
      <c r="U41" s="1377" t="s">
        <v>18</v>
      </c>
      <c r="V41" s="1377" t="s">
        <v>18</v>
      </c>
      <c r="W41" s="1377" t="s">
        <v>18</v>
      </c>
      <c r="X41" s="1377" t="s">
        <v>18</v>
      </c>
      <c r="Y41" s="1377"/>
      <c r="Z41" s="664"/>
      <c r="AA41" s="665"/>
      <c r="AB41" s="665"/>
      <c r="AC41" s="669"/>
      <c r="AD41" s="669"/>
      <c r="AE41" s="670"/>
      <c r="AF41" s="1408"/>
      <c r="AG41" s="1403"/>
      <c r="AH41" s="1403"/>
      <c r="AI41" s="1408"/>
      <c r="AJ41" s="1403"/>
      <c r="AK41" s="1403"/>
      <c r="AL41" s="703"/>
      <c r="AM41" s="35"/>
      <c r="AN41" s="35"/>
      <c r="AO41" s="35"/>
      <c r="AP41" s="35"/>
      <c r="AQ41" s="35"/>
      <c r="AR41" s="35"/>
      <c r="AS41" s="35"/>
      <c r="AT41" s="35"/>
      <c r="AU41" s="35"/>
      <c r="AV41" s="35"/>
      <c r="AW41" s="35"/>
      <c r="AX41" s="35"/>
      <c r="AY41" s="35"/>
      <c r="AZ41" s="35"/>
      <c r="BA41" s="35"/>
      <c r="BB41" s="35"/>
      <c r="BC41" s="35"/>
      <c r="BD41" s="35"/>
      <c r="BE41" s="35"/>
      <c r="BF41" s="35"/>
    </row>
    <row r="42" spans="1:58" ht="11.25" customHeight="1">
      <c r="A42" s="301" t="s">
        <v>916</v>
      </c>
      <c r="E42" s="11"/>
      <c r="F42" s="1406"/>
      <c r="G42" s="1421"/>
      <c r="H42" s="1410" t="s">
        <v>107</v>
      </c>
      <c r="I42" s="1411"/>
      <c r="J42" s="1412"/>
      <c r="K42" s="1413"/>
      <c r="L42" s="1127"/>
      <c r="M42" s="1128"/>
      <c r="N42" s="1423"/>
      <c r="O42" s="1424"/>
      <c r="P42" s="1417"/>
      <c r="Q42" s="1377"/>
      <c r="R42" s="1377"/>
      <c r="S42" s="1409"/>
      <c r="T42" s="1377"/>
      <c r="U42" s="1377"/>
      <c r="V42" s="1377"/>
      <c r="W42" s="1377"/>
      <c r="X42" s="1377"/>
      <c r="Y42" s="1377"/>
      <c r="Z42" s="978"/>
      <c r="AA42" s="969">
        <v>1</v>
      </c>
      <c r="AB42" s="668" t="s">
        <v>951</v>
      </c>
      <c r="AC42" s="371">
        <v>1748</v>
      </c>
      <c r="AD42" s="668" t="str">
        <f>AB42</f>
        <v xml:space="preserve">      Прочие амортизационные отчисления</v>
      </c>
      <c r="AE42" s="371">
        <v>1424.99</v>
      </c>
      <c r="AF42" s="1408"/>
      <c r="AG42" s="1403"/>
      <c r="AH42" s="1403"/>
      <c r="AI42" s="1408"/>
      <c r="AJ42" s="1403"/>
      <c r="AK42" s="1403"/>
      <c r="AL42" s="703"/>
      <c r="AM42" s="35"/>
      <c r="AN42" s="35"/>
      <c r="AO42" s="35"/>
      <c r="AP42" s="35"/>
      <c r="AQ42" s="35"/>
      <c r="AR42" s="35"/>
      <c r="AS42" s="35"/>
      <c r="AT42" s="35"/>
      <c r="AU42" s="35"/>
      <c r="AV42" s="35"/>
      <c r="AW42" s="35"/>
      <c r="AX42" s="35"/>
      <c r="AY42" s="35"/>
      <c r="AZ42" s="35"/>
      <c r="BA42" s="35"/>
      <c r="BB42" s="35"/>
      <c r="BC42" s="35"/>
      <c r="BD42" s="35"/>
      <c r="BE42" s="35"/>
      <c r="BF42" s="35"/>
    </row>
    <row r="43" spans="1:58" ht="11.25" customHeight="1">
      <c r="A43" s="301" t="s">
        <v>916</v>
      </c>
      <c r="E43" s="11"/>
      <c r="F43" s="1406"/>
      <c r="G43" s="1421"/>
      <c r="H43" s="1410" t="s">
        <v>107</v>
      </c>
      <c r="I43" s="1411"/>
      <c r="J43" s="1412"/>
      <c r="K43" s="1413"/>
      <c r="L43" s="1127"/>
      <c r="M43" s="1128"/>
      <c r="N43" s="1423"/>
      <c r="O43" s="1424"/>
      <c r="P43" s="1418"/>
      <c r="Q43" s="1377"/>
      <c r="R43" s="1377"/>
      <c r="S43" s="1409"/>
      <c r="T43" s="1377"/>
      <c r="U43" s="1377"/>
      <c r="V43" s="1377"/>
      <c r="W43" s="1377"/>
      <c r="X43" s="1377"/>
      <c r="Y43" s="1377"/>
      <c r="Z43" s="664"/>
      <c r="AA43" s="665"/>
      <c r="AB43" s="108" t="s">
        <v>952</v>
      </c>
      <c r="AC43" s="669"/>
      <c r="AD43" s="669"/>
      <c r="AE43" s="671"/>
      <c r="AF43" s="1408"/>
      <c r="AG43" s="1403"/>
      <c r="AH43" s="1403"/>
      <c r="AI43" s="1408"/>
      <c r="AJ43" s="1403"/>
      <c r="AK43" s="1403"/>
      <c r="AL43" s="703"/>
      <c r="AM43" s="35"/>
      <c r="AN43" s="35"/>
      <c r="AO43" s="35"/>
      <c r="AP43" s="35"/>
      <c r="AQ43" s="35"/>
      <c r="AR43" s="35"/>
      <c r="AS43" s="35"/>
      <c r="AT43" s="35"/>
      <c r="AU43" s="35"/>
      <c r="AV43" s="35"/>
      <c r="AW43" s="35"/>
      <c r="AX43" s="35"/>
      <c r="AY43" s="35"/>
      <c r="AZ43" s="35"/>
      <c r="BA43" s="35"/>
      <c r="BB43" s="35"/>
      <c r="BC43" s="35"/>
      <c r="BD43" s="35"/>
      <c r="BE43" s="35"/>
      <c r="BF43" s="35"/>
    </row>
    <row r="44" spans="1:58" ht="11.25" customHeight="1">
      <c r="A44" s="301" t="s">
        <v>916</v>
      </c>
      <c r="E44" s="11"/>
      <c r="F44" s="1406"/>
      <c r="G44" s="1421"/>
      <c r="H44" s="1410" t="s">
        <v>107</v>
      </c>
      <c r="I44" s="1411"/>
      <c r="J44" s="1412"/>
      <c r="K44" s="1413"/>
      <c r="L44" s="1127"/>
      <c r="M44" s="1128"/>
      <c r="N44" s="664"/>
      <c r="O44" s="665"/>
      <c r="P44" s="108" t="s">
        <v>953</v>
      </c>
      <c r="Q44" s="665"/>
      <c r="R44" s="665"/>
      <c r="S44" s="665"/>
      <c r="T44" s="665"/>
      <c r="U44" s="665"/>
      <c r="V44" s="665"/>
      <c r="W44" s="665"/>
      <c r="X44" s="665"/>
      <c r="Y44" s="665"/>
      <c r="Z44" s="665"/>
      <c r="AA44" s="665"/>
      <c r="AB44" s="665"/>
      <c r="AC44" s="665"/>
      <c r="AD44" s="665"/>
      <c r="AE44" s="672"/>
      <c r="AF44" s="1408"/>
      <c r="AG44" s="1403"/>
      <c r="AH44" s="1403"/>
      <c r="AI44" s="1408"/>
      <c r="AJ44" s="1403"/>
      <c r="AK44" s="1403"/>
      <c r="AL44" s="703"/>
      <c r="AM44" s="35"/>
      <c r="AN44" s="35"/>
      <c r="AO44" s="35"/>
      <c r="AP44" s="35"/>
      <c r="AQ44" s="35"/>
      <c r="AR44" s="35"/>
      <c r="AS44" s="35"/>
      <c r="AT44" s="35"/>
      <c r="AU44" s="35"/>
      <c r="AV44" s="35"/>
      <c r="AW44" s="35"/>
      <c r="AX44" s="35"/>
      <c r="AY44" s="35"/>
      <c r="AZ44" s="35"/>
      <c r="BA44" s="35"/>
      <c r="BB44" s="35"/>
      <c r="BC44" s="35"/>
      <c r="BD44" s="35"/>
      <c r="BE44" s="35"/>
      <c r="BF44" s="35"/>
    </row>
    <row r="45" spans="1:58" ht="11.25" customHeight="1">
      <c r="A45" s="301" t="s">
        <v>916</v>
      </c>
      <c r="E45" s="11"/>
      <c r="F45" s="1406"/>
      <c r="G45" s="1395" t="s">
        <v>117</v>
      </c>
      <c r="H45" s="1410" t="s">
        <v>89</v>
      </c>
      <c r="I45" s="1411"/>
      <c r="J45" s="1412"/>
      <c r="K45" s="1413" t="s">
        <v>959</v>
      </c>
      <c r="L45" s="1127" t="s">
        <v>52</v>
      </c>
      <c r="M45" s="1128"/>
      <c r="N45" s="1046"/>
      <c r="O45" s="666" t="s">
        <v>375</v>
      </c>
      <c r="P45" s="667"/>
      <c r="Q45" s="667"/>
      <c r="R45" s="667"/>
      <c r="S45" s="667"/>
      <c r="T45" s="667"/>
      <c r="U45" s="667"/>
      <c r="V45" s="667"/>
      <c r="W45" s="667"/>
      <c r="X45" s="667"/>
      <c r="Y45" s="667"/>
      <c r="Z45" s="667"/>
      <c r="AA45" s="667"/>
      <c r="AB45" s="667"/>
      <c r="AC45" s="667"/>
      <c r="AD45" s="667"/>
      <c r="AE45" s="667"/>
      <c r="AF45" s="1408">
        <v>2026</v>
      </c>
      <c r="AG45" s="1403" t="s">
        <v>949</v>
      </c>
      <c r="AH45" s="1403" t="s">
        <v>950</v>
      </c>
      <c r="AI45" s="1408">
        <v>2026</v>
      </c>
      <c r="AJ45" s="1403" t="s">
        <v>949</v>
      </c>
      <c r="AK45" s="1403" t="s">
        <v>950</v>
      </c>
      <c r="AL45" s="703"/>
      <c r="AM45" s="35"/>
      <c r="AN45" s="35"/>
      <c r="AO45" s="35"/>
      <c r="AP45" s="35"/>
      <c r="AQ45" s="35"/>
      <c r="AR45" s="35"/>
      <c r="AS45" s="35"/>
      <c r="AT45" s="35"/>
      <c r="AU45" s="35"/>
      <c r="AV45" s="35"/>
      <c r="AW45" s="35"/>
      <c r="AX45" s="35"/>
      <c r="AY45" s="35"/>
      <c r="AZ45" s="35"/>
      <c r="BA45" s="35"/>
      <c r="BB45" s="35"/>
      <c r="BC45" s="35"/>
      <c r="BD45" s="35"/>
      <c r="BE45" s="35"/>
      <c r="BF45" s="35"/>
    </row>
    <row r="46" spans="1:58" ht="11.25" customHeight="1">
      <c r="A46" s="301" t="s">
        <v>916</v>
      </c>
      <c r="E46" s="11"/>
      <c r="F46" s="1406"/>
      <c r="G46" s="1421"/>
      <c r="H46" s="1410" t="s">
        <v>88</v>
      </c>
      <c r="I46" s="1411"/>
      <c r="J46" s="1412"/>
      <c r="K46" s="1413"/>
      <c r="L46" s="1127"/>
      <c r="M46" s="1128"/>
      <c r="N46" s="1423"/>
      <c r="O46" s="1424">
        <v>1</v>
      </c>
      <c r="P46" s="1416" t="s">
        <v>52</v>
      </c>
      <c r="Q46" s="1377" t="s">
        <v>18</v>
      </c>
      <c r="R46" s="1377" t="s">
        <v>18</v>
      </c>
      <c r="S46" s="1377" t="s">
        <v>18</v>
      </c>
      <c r="T46" s="1377" t="s">
        <v>18</v>
      </c>
      <c r="U46" s="1377" t="s">
        <v>18</v>
      </c>
      <c r="V46" s="1377" t="s">
        <v>18</v>
      </c>
      <c r="W46" s="1377" t="s">
        <v>18</v>
      </c>
      <c r="X46" s="1377" t="s">
        <v>18</v>
      </c>
      <c r="Y46" s="1377"/>
      <c r="Z46" s="664"/>
      <c r="AA46" s="665"/>
      <c r="AB46" s="665"/>
      <c r="AC46" s="669"/>
      <c r="AD46" s="669"/>
      <c r="AE46" s="670"/>
      <c r="AF46" s="1408"/>
      <c r="AG46" s="1403"/>
      <c r="AH46" s="1403"/>
      <c r="AI46" s="1408"/>
      <c r="AJ46" s="1403"/>
      <c r="AK46" s="1403"/>
      <c r="AL46" s="703"/>
      <c r="AM46" s="35"/>
      <c r="AN46" s="35"/>
      <c r="AO46" s="35"/>
      <c r="AP46" s="35"/>
      <c r="AQ46" s="35"/>
      <c r="AR46" s="35"/>
      <c r="AS46" s="35"/>
      <c r="AT46" s="35"/>
      <c r="AU46" s="35"/>
      <c r="AV46" s="35"/>
      <c r="AW46" s="35"/>
      <c r="AX46" s="35"/>
      <c r="AY46" s="35"/>
      <c r="AZ46" s="35"/>
      <c r="BA46" s="35"/>
      <c r="BB46" s="35"/>
      <c r="BC46" s="35"/>
      <c r="BD46" s="35"/>
      <c r="BE46" s="35"/>
      <c r="BF46" s="35"/>
    </row>
    <row r="47" spans="1:58" ht="11.25" customHeight="1">
      <c r="A47" s="301" t="s">
        <v>916</v>
      </c>
      <c r="E47" s="11"/>
      <c r="F47" s="1406"/>
      <c r="G47" s="1421"/>
      <c r="H47" s="1410" t="s">
        <v>88</v>
      </c>
      <c r="I47" s="1411"/>
      <c r="J47" s="1412"/>
      <c r="K47" s="1413"/>
      <c r="L47" s="1127"/>
      <c r="M47" s="1128"/>
      <c r="N47" s="1423"/>
      <c r="O47" s="1424"/>
      <c r="P47" s="1417"/>
      <c r="Q47" s="1377"/>
      <c r="R47" s="1377"/>
      <c r="S47" s="1409"/>
      <c r="T47" s="1377"/>
      <c r="U47" s="1377"/>
      <c r="V47" s="1377"/>
      <c r="W47" s="1377"/>
      <c r="X47" s="1377"/>
      <c r="Y47" s="1377"/>
      <c r="Z47" s="978"/>
      <c r="AA47" s="969">
        <v>1</v>
      </c>
      <c r="AB47" s="668" t="s">
        <v>951</v>
      </c>
      <c r="AC47" s="371">
        <v>829.59</v>
      </c>
      <c r="AD47" s="668" t="str">
        <f>AB47</f>
        <v xml:space="preserve">      Прочие амортизационные отчисления</v>
      </c>
      <c r="AE47" s="371">
        <v>849.63</v>
      </c>
      <c r="AF47" s="1408"/>
      <c r="AG47" s="1403"/>
      <c r="AH47" s="1403"/>
      <c r="AI47" s="1408"/>
      <c r="AJ47" s="1403"/>
      <c r="AK47" s="1403"/>
      <c r="AL47" s="703"/>
      <c r="AM47" s="35"/>
      <c r="AN47" s="35"/>
      <c r="AO47" s="35"/>
      <c r="AP47" s="35"/>
      <c r="AQ47" s="35"/>
      <c r="AR47" s="35"/>
      <c r="AS47" s="35"/>
      <c r="AT47" s="35"/>
      <c r="AU47" s="35"/>
      <c r="AV47" s="35"/>
      <c r="AW47" s="35"/>
      <c r="AX47" s="35"/>
      <c r="AY47" s="35"/>
      <c r="AZ47" s="35"/>
      <c r="BA47" s="35"/>
      <c r="BB47" s="35"/>
      <c r="BC47" s="35"/>
      <c r="BD47" s="35"/>
      <c r="BE47" s="35"/>
      <c r="BF47" s="35"/>
    </row>
    <row r="48" spans="1:58" ht="11.25" customHeight="1">
      <c r="A48" s="301" t="s">
        <v>916</v>
      </c>
      <c r="E48" s="11"/>
      <c r="F48" s="1406"/>
      <c r="G48" s="1421"/>
      <c r="H48" s="1410" t="s">
        <v>88</v>
      </c>
      <c r="I48" s="1411"/>
      <c r="J48" s="1412"/>
      <c r="K48" s="1413"/>
      <c r="L48" s="1127"/>
      <c r="M48" s="1128"/>
      <c r="N48" s="1423"/>
      <c r="O48" s="1424"/>
      <c r="P48" s="1418"/>
      <c r="Q48" s="1377"/>
      <c r="R48" s="1377"/>
      <c r="S48" s="1409"/>
      <c r="T48" s="1377"/>
      <c r="U48" s="1377"/>
      <c r="V48" s="1377"/>
      <c r="W48" s="1377"/>
      <c r="X48" s="1377"/>
      <c r="Y48" s="1377"/>
      <c r="Z48" s="664"/>
      <c r="AA48" s="665"/>
      <c r="AB48" s="108" t="s">
        <v>952</v>
      </c>
      <c r="AC48" s="669"/>
      <c r="AD48" s="669"/>
      <c r="AE48" s="671"/>
      <c r="AF48" s="1408"/>
      <c r="AG48" s="1403"/>
      <c r="AH48" s="1403"/>
      <c r="AI48" s="1408"/>
      <c r="AJ48" s="1403"/>
      <c r="AK48" s="1403"/>
      <c r="AL48" s="703"/>
      <c r="AM48" s="35"/>
      <c r="AN48" s="35"/>
      <c r="AO48" s="35"/>
      <c r="AP48" s="35"/>
      <c r="AQ48" s="35"/>
      <c r="AR48" s="35"/>
      <c r="AS48" s="35"/>
      <c r="AT48" s="35"/>
      <c r="AU48" s="35"/>
      <c r="AV48" s="35"/>
      <c r="AW48" s="35"/>
      <c r="AX48" s="35"/>
      <c r="AY48" s="35"/>
      <c r="AZ48" s="35"/>
      <c r="BA48" s="35"/>
      <c r="BB48" s="35"/>
      <c r="BC48" s="35"/>
      <c r="BD48" s="35"/>
      <c r="BE48" s="35"/>
      <c r="BF48" s="35"/>
    </row>
    <row r="49" spans="1:58" ht="11.25" customHeight="1">
      <c r="A49" s="301" t="s">
        <v>916</v>
      </c>
      <c r="E49" s="11"/>
      <c r="F49" s="1406"/>
      <c r="G49" s="1421"/>
      <c r="H49" s="1410" t="s">
        <v>88</v>
      </c>
      <c r="I49" s="1411"/>
      <c r="J49" s="1412"/>
      <c r="K49" s="1413"/>
      <c r="L49" s="1127"/>
      <c r="M49" s="1128"/>
      <c r="N49" s="664"/>
      <c r="O49" s="665"/>
      <c r="P49" s="108" t="s">
        <v>953</v>
      </c>
      <c r="Q49" s="665"/>
      <c r="R49" s="665"/>
      <c r="S49" s="665"/>
      <c r="T49" s="665"/>
      <c r="U49" s="665"/>
      <c r="V49" s="665"/>
      <c r="W49" s="665"/>
      <c r="X49" s="665"/>
      <c r="Y49" s="665"/>
      <c r="Z49" s="665"/>
      <c r="AA49" s="665"/>
      <c r="AB49" s="665"/>
      <c r="AC49" s="665"/>
      <c r="AD49" s="665"/>
      <c r="AE49" s="672"/>
      <c r="AF49" s="1408"/>
      <c r="AG49" s="1403"/>
      <c r="AH49" s="1403"/>
      <c r="AI49" s="1408"/>
      <c r="AJ49" s="1403"/>
      <c r="AK49" s="1403"/>
      <c r="AL49" s="703"/>
      <c r="AM49" s="35"/>
      <c r="AN49" s="35"/>
      <c r="AO49" s="35"/>
      <c r="AP49" s="35"/>
      <c r="AQ49" s="35"/>
      <c r="AR49" s="35"/>
      <c r="AS49" s="35"/>
      <c r="AT49" s="35"/>
      <c r="AU49" s="35"/>
      <c r="AV49" s="35"/>
      <c r="AW49" s="35"/>
      <c r="AX49" s="35"/>
      <c r="AY49" s="35"/>
      <c r="AZ49" s="35"/>
      <c r="BA49" s="35"/>
      <c r="BB49" s="35"/>
      <c r="BC49" s="35"/>
      <c r="BD49" s="35"/>
      <c r="BE49" s="35"/>
      <c r="BF49" s="35"/>
    </row>
    <row r="50" spans="1:58" ht="11.25" customHeight="1">
      <c r="A50" s="301" t="s">
        <v>916</v>
      </c>
      <c r="E50" s="11"/>
      <c r="F50" s="1406"/>
      <c r="G50" s="1395" t="s">
        <v>117</v>
      </c>
      <c r="H50" s="1410" t="s">
        <v>108</v>
      </c>
      <c r="I50" s="1411"/>
      <c r="J50" s="1412"/>
      <c r="K50" s="1413" t="s">
        <v>960</v>
      </c>
      <c r="L50" s="1127" t="s">
        <v>52</v>
      </c>
      <c r="M50" s="1128"/>
      <c r="N50" s="1046"/>
      <c r="O50" s="666" t="s">
        <v>375</v>
      </c>
      <c r="P50" s="667"/>
      <c r="Q50" s="667"/>
      <c r="R50" s="667"/>
      <c r="S50" s="667"/>
      <c r="T50" s="667"/>
      <c r="U50" s="667"/>
      <c r="V50" s="667"/>
      <c r="W50" s="667"/>
      <c r="X50" s="667"/>
      <c r="Y50" s="667"/>
      <c r="Z50" s="667"/>
      <c r="AA50" s="667"/>
      <c r="AB50" s="667"/>
      <c r="AC50" s="667"/>
      <c r="AD50" s="667"/>
      <c r="AE50" s="667"/>
      <c r="AF50" s="1408">
        <v>2022</v>
      </c>
      <c r="AG50" s="1403" t="s">
        <v>949</v>
      </c>
      <c r="AH50" s="1403" t="s">
        <v>950</v>
      </c>
      <c r="AI50" s="1408">
        <v>2022</v>
      </c>
      <c r="AJ50" s="1403" t="s">
        <v>949</v>
      </c>
      <c r="AK50" s="1403" t="s">
        <v>950</v>
      </c>
      <c r="AL50" s="703"/>
      <c r="AM50" s="35"/>
      <c r="AN50" s="35"/>
      <c r="AO50" s="35"/>
      <c r="AP50" s="35"/>
      <c r="AQ50" s="35"/>
      <c r="AR50" s="35"/>
      <c r="AS50" s="35"/>
      <c r="AT50" s="35"/>
      <c r="AU50" s="35"/>
      <c r="AV50" s="35"/>
      <c r="AW50" s="35"/>
      <c r="AX50" s="35"/>
      <c r="AY50" s="35"/>
      <c r="AZ50" s="35"/>
      <c r="BA50" s="35"/>
      <c r="BB50" s="35"/>
      <c r="BC50" s="35"/>
      <c r="BD50" s="35"/>
      <c r="BE50" s="35"/>
      <c r="BF50" s="35"/>
    </row>
    <row r="51" spans="1:58" ht="11.25" customHeight="1">
      <c r="A51" s="301" t="s">
        <v>916</v>
      </c>
      <c r="E51" s="11"/>
      <c r="F51" s="1406"/>
      <c r="G51" s="1421"/>
      <c r="H51" s="1410" t="s">
        <v>89</v>
      </c>
      <c r="I51" s="1411"/>
      <c r="J51" s="1412"/>
      <c r="K51" s="1413"/>
      <c r="L51" s="1127"/>
      <c r="M51" s="1128"/>
      <c r="N51" s="1423"/>
      <c r="O51" s="1424">
        <v>1</v>
      </c>
      <c r="P51" s="1416" t="s">
        <v>52</v>
      </c>
      <c r="Q51" s="1377" t="s">
        <v>18</v>
      </c>
      <c r="R51" s="1377" t="s">
        <v>18</v>
      </c>
      <c r="S51" s="1377" t="s">
        <v>18</v>
      </c>
      <c r="T51" s="1377" t="s">
        <v>18</v>
      </c>
      <c r="U51" s="1377" t="s">
        <v>18</v>
      </c>
      <c r="V51" s="1377" t="s">
        <v>18</v>
      </c>
      <c r="W51" s="1377" t="s">
        <v>18</v>
      </c>
      <c r="X51" s="1377" t="s">
        <v>18</v>
      </c>
      <c r="Y51" s="1377"/>
      <c r="Z51" s="664"/>
      <c r="AA51" s="665"/>
      <c r="AB51" s="665"/>
      <c r="AC51" s="669"/>
      <c r="AD51" s="669"/>
      <c r="AE51" s="670"/>
      <c r="AF51" s="1408"/>
      <c r="AG51" s="1403"/>
      <c r="AH51" s="1403"/>
      <c r="AI51" s="1408"/>
      <c r="AJ51" s="1403"/>
      <c r="AK51" s="1403"/>
      <c r="AL51" s="703"/>
      <c r="AM51" s="35"/>
      <c r="AN51" s="35"/>
      <c r="AO51" s="35"/>
      <c r="AP51" s="35"/>
      <c r="AQ51" s="35"/>
      <c r="AR51" s="35"/>
      <c r="AS51" s="35"/>
      <c r="AT51" s="35"/>
      <c r="AU51" s="35"/>
      <c r="AV51" s="35"/>
      <c r="AW51" s="35"/>
      <c r="AX51" s="35"/>
      <c r="AY51" s="35"/>
      <c r="AZ51" s="35"/>
      <c r="BA51" s="35"/>
      <c r="BB51" s="35"/>
      <c r="BC51" s="35"/>
      <c r="BD51" s="35"/>
      <c r="BE51" s="35"/>
      <c r="BF51" s="35"/>
    </row>
    <row r="52" spans="1:58" ht="11.25" customHeight="1">
      <c r="A52" s="301" t="s">
        <v>916</v>
      </c>
      <c r="E52" s="11"/>
      <c r="F52" s="1406"/>
      <c r="G52" s="1421"/>
      <c r="H52" s="1410" t="s">
        <v>89</v>
      </c>
      <c r="I52" s="1411"/>
      <c r="J52" s="1412"/>
      <c r="K52" s="1413"/>
      <c r="L52" s="1127"/>
      <c r="M52" s="1128"/>
      <c r="N52" s="1423"/>
      <c r="O52" s="1424"/>
      <c r="P52" s="1417"/>
      <c r="Q52" s="1377"/>
      <c r="R52" s="1377"/>
      <c r="S52" s="1409"/>
      <c r="T52" s="1377"/>
      <c r="U52" s="1377"/>
      <c r="V52" s="1377"/>
      <c r="W52" s="1377"/>
      <c r="X52" s="1377"/>
      <c r="Y52" s="1377"/>
      <c r="Z52" s="978"/>
      <c r="AA52" s="969">
        <v>1</v>
      </c>
      <c r="AB52" s="668" t="s">
        <v>951</v>
      </c>
      <c r="AC52" s="371">
        <v>1643.09</v>
      </c>
      <c r="AD52" s="668" t="str">
        <f>AB52</f>
        <v xml:space="preserve">      Прочие амортизационные отчисления</v>
      </c>
      <c r="AE52" s="371">
        <v>1640</v>
      </c>
      <c r="AF52" s="1408"/>
      <c r="AG52" s="1403"/>
      <c r="AH52" s="1403"/>
      <c r="AI52" s="1408"/>
      <c r="AJ52" s="1403"/>
      <c r="AK52" s="1403"/>
      <c r="AL52" s="703"/>
      <c r="AM52" s="35"/>
      <c r="AN52" s="35"/>
      <c r="AO52" s="35"/>
      <c r="AP52" s="35"/>
      <c r="AQ52" s="35"/>
      <c r="AR52" s="35"/>
      <c r="AS52" s="35"/>
      <c r="AT52" s="35"/>
      <c r="AU52" s="35"/>
      <c r="AV52" s="35"/>
      <c r="AW52" s="35"/>
      <c r="AX52" s="35"/>
      <c r="AY52" s="35"/>
      <c r="AZ52" s="35"/>
      <c r="BA52" s="35"/>
      <c r="BB52" s="35"/>
      <c r="BC52" s="35"/>
      <c r="BD52" s="35"/>
      <c r="BE52" s="35"/>
      <c r="BF52" s="35"/>
    </row>
    <row r="53" spans="1:58" ht="11.25" customHeight="1">
      <c r="A53" s="301" t="s">
        <v>916</v>
      </c>
      <c r="E53" s="11"/>
      <c r="F53" s="1406"/>
      <c r="G53" s="1421"/>
      <c r="H53" s="1410" t="s">
        <v>89</v>
      </c>
      <c r="I53" s="1411"/>
      <c r="J53" s="1412"/>
      <c r="K53" s="1413"/>
      <c r="L53" s="1127"/>
      <c r="M53" s="1128"/>
      <c r="N53" s="1423"/>
      <c r="O53" s="1424"/>
      <c r="P53" s="1418"/>
      <c r="Q53" s="1377"/>
      <c r="R53" s="1377"/>
      <c r="S53" s="1409"/>
      <c r="T53" s="1377"/>
      <c r="U53" s="1377"/>
      <c r="V53" s="1377"/>
      <c r="W53" s="1377"/>
      <c r="X53" s="1377"/>
      <c r="Y53" s="1377"/>
      <c r="Z53" s="664"/>
      <c r="AA53" s="665"/>
      <c r="AB53" s="108" t="s">
        <v>952</v>
      </c>
      <c r="AC53" s="669"/>
      <c r="AD53" s="669"/>
      <c r="AE53" s="671"/>
      <c r="AF53" s="1408"/>
      <c r="AG53" s="1403"/>
      <c r="AH53" s="1403"/>
      <c r="AI53" s="1408"/>
      <c r="AJ53" s="1403"/>
      <c r="AK53" s="1403"/>
      <c r="AL53" s="703"/>
      <c r="AM53" s="35"/>
      <c r="AN53" s="35"/>
      <c r="AO53" s="35"/>
      <c r="AP53" s="35"/>
      <c r="AQ53" s="35"/>
      <c r="AR53" s="35"/>
      <c r="AS53" s="35"/>
      <c r="AT53" s="35"/>
      <c r="AU53" s="35"/>
      <c r="AV53" s="35"/>
      <c r="AW53" s="35"/>
      <c r="AX53" s="35"/>
      <c r="AY53" s="35"/>
      <c r="AZ53" s="35"/>
      <c r="BA53" s="35"/>
      <c r="BB53" s="35"/>
      <c r="BC53" s="35"/>
      <c r="BD53" s="35"/>
      <c r="BE53" s="35"/>
      <c r="BF53" s="35"/>
    </row>
    <row r="54" spans="1:58" ht="11.25" customHeight="1">
      <c r="A54" s="301" t="s">
        <v>916</v>
      </c>
      <c r="E54" s="11"/>
      <c r="F54" s="1406"/>
      <c r="G54" s="1421"/>
      <c r="H54" s="1410" t="s">
        <v>89</v>
      </c>
      <c r="I54" s="1411"/>
      <c r="J54" s="1412"/>
      <c r="K54" s="1413"/>
      <c r="L54" s="1127"/>
      <c r="M54" s="1128"/>
      <c r="N54" s="664"/>
      <c r="O54" s="665"/>
      <c r="P54" s="108" t="s">
        <v>953</v>
      </c>
      <c r="Q54" s="665"/>
      <c r="R54" s="665"/>
      <c r="S54" s="665"/>
      <c r="T54" s="665"/>
      <c r="U54" s="665"/>
      <c r="V54" s="665"/>
      <c r="W54" s="665"/>
      <c r="X54" s="665"/>
      <c r="Y54" s="665"/>
      <c r="Z54" s="665"/>
      <c r="AA54" s="665"/>
      <c r="AB54" s="665"/>
      <c r="AC54" s="665"/>
      <c r="AD54" s="665"/>
      <c r="AE54" s="672"/>
      <c r="AF54" s="1408"/>
      <c r="AG54" s="1403"/>
      <c r="AH54" s="1403"/>
      <c r="AI54" s="1408"/>
      <c r="AJ54" s="1403"/>
      <c r="AK54" s="1403"/>
      <c r="AL54" s="703"/>
      <c r="AM54" s="35"/>
      <c r="AN54" s="35"/>
      <c r="AO54" s="35"/>
      <c r="AP54" s="35"/>
      <c r="AQ54" s="35"/>
      <c r="AR54" s="35"/>
      <c r="AS54" s="35"/>
      <c r="AT54" s="35"/>
      <c r="AU54" s="35"/>
      <c r="AV54" s="35"/>
      <c r="AW54" s="35"/>
      <c r="AX54" s="35"/>
      <c r="AY54" s="35"/>
      <c r="AZ54" s="35"/>
      <c r="BA54" s="35"/>
      <c r="BB54" s="35"/>
      <c r="BC54" s="35"/>
      <c r="BD54" s="35"/>
      <c r="BE54" s="35"/>
      <c r="BF54" s="35"/>
    </row>
    <row r="55" spans="1:58" ht="12" customHeight="1">
      <c r="A55" s="301" t="s">
        <v>916</v>
      </c>
      <c r="E55" s="11"/>
      <c r="F55" s="1407"/>
      <c r="G55" s="677"/>
      <c r="H55" s="677"/>
      <c r="I55" s="1404" t="s">
        <v>961</v>
      </c>
      <c r="J55" s="1404"/>
      <c r="K55" s="1404"/>
      <c r="L55" s="662"/>
      <c r="M55" s="662"/>
      <c r="N55" s="663"/>
      <c r="O55" s="663"/>
      <c r="P55" s="663"/>
      <c r="Q55" s="663"/>
      <c r="R55" s="663"/>
      <c r="S55" s="663"/>
      <c r="T55" s="663"/>
      <c r="U55" s="663"/>
      <c r="V55" s="663"/>
      <c r="W55" s="663"/>
      <c r="X55" s="663"/>
      <c r="Y55" s="663"/>
      <c r="Z55" s="663"/>
      <c r="AA55" s="663"/>
      <c r="AB55" s="663"/>
      <c r="AC55" s="663"/>
      <c r="AD55" s="663"/>
      <c r="AE55" s="663"/>
      <c r="AF55" s="663"/>
      <c r="AG55" s="662"/>
      <c r="AH55" s="662"/>
      <c r="AI55" s="663"/>
      <c r="AJ55" s="662"/>
      <c r="AK55" s="663"/>
      <c r="AL55" s="703"/>
      <c r="AM55" s="35"/>
      <c r="AN55" s="35"/>
      <c r="AO55" s="35"/>
      <c r="AP55" s="35"/>
      <c r="AQ55" s="35"/>
      <c r="AR55" s="35"/>
      <c r="AS55" s="35"/>
      <c r="AT55" s="35"/>
      <c r="AU55" s="35"/>
      <c r="AV55" s="35"/>
      <c r="AW55" s="35"/>
      <c r="AX55" s="35"/>
      <c r="AY55" s="35"/>
      <c r="AZ55" s="35"/>
      <c r="BA55" s="35"/>
      <c r="BB55" s="35"/>
      <c r="BC55" s="35"/>
      <c r="BD55" s="35"/>
      <c r="BE55" s="35"/>
      <c r="BF55" s="35"/>
    </row>
    <row r="56" spans="1:58" ht="11.25" customHeight="1">
      <c r="A56" s="301" t="s">
        <v>916</v>
      </c>
      <c r="E56" s="11"/>
      <c r="F56" s="1405">
        <v>2023</v>
      </c>
      <c r="G56" s="1410"/>
      <c r="H56" s="1410" t="s">
        <v>105</v>
      </c>
      <c r="I56" s="1411"/>
      <c r="J56" s="1412"/>
      <c r="K56" s="1413" t="s">
        <v>955</v>
      </c>
      <c r="L56" s="1403" t="s">
        <v>52</v>
      </c>
      <c r="M56" s="1128"/>
      <c r="N56" s="667"/>
      <c r="O56" s="666" t="s">
        <v>375</v>
      </c>
      <c r="P56" s="667"/>
      <c r="Q56" s="667"/>
      <c r="R56" s="667"/>
      <c r="S56" s="667"/>
      <c r="T56" s="667"/>
      <c r="U56" s="667"/>
      <c r="V56" s="667"/>
      <c r="W56" s="667"/>
      <c r="X56" s="667"/>
      <c r="Y56" s="667"/>
      <c r="Z56" s="667"/>
      <c r="AA56" s="667"/>
      <c r="AB56" s="667"/>
      <c r="AC56" s="667"/>
      <c r="AD56" s="667"/>
      <c r="AE56" s="667"/>
      <c r="AF56" s="1408">
        <v>2026</v>
      </c>
      <c r="AG56" s="1403" t="s">
        <v>949</v>
      </c>
      <c r="AH56" s="1403" t="s">
        <v>950</v>
      </c>
      <c r="AI56" s="1408">
        <v>2026</v>
      </c>
      <c r="AJ56" s="1403" t="s">
        <v>949</v>
      </c>
      <c r="AK56" s="1403" t="s">
        <v>950</v>
      </c>
      <c r="AL56" s="703"/>
      <c r="AM56" s="35"/>
      <c r="AN56" s="35"/>
      <c r="AO56" s="35"/>
      <c r="AP56" s="35"/>
      <c r="AQ56" s="35"/>
      <c r="AR56" s="35"/>
      <c r="AS56" s="35"/>
      <c r="AT56" s="35"/>
      <c r="AU56" s="35"/>
      <c r="AV56" s="35"/>
      <c r="AW56" s="35"/>
      <c r="AX56" s="35"/>
      <c r="AY56" s="35"/>
      <c r="AZ56" s="35"/>
      <c r="BA56" s="35"/>
      <c r="BB56" s="35"/>
      <c r="BC56" s="35"/>
      <c r="BD56" s="35"/>
      <c r="BE56" s="35"/>
      <c r="BF56" s="35"/>
    </row>
    <row r="57" spans="1:58" ht="11.25" customHeight="1">
      <c r="A57" s="301" t="s">
        <v>916</v>
      </c>
      <c r="E57" s="11"/>
      <c r="F57" s="1405"/>
      <c r="G57" s="1410"/>
      <c r="H57" s="1410"/>
      <c r="I57" s="1411"/>
      <c r="J57" s="1412"/>
      <c r="K57" s="1413"/>
      <c r="L57" s="1403"/>
      <c r="M57" s="1128"/>
      <c r="N57" s="1414"/>
      <c r="O57" s="1415">
        <v>1</v>
      </c>
      <c r="P57" s="1416" t="s">
        <v>52</v>
      </c>
      <c r="Q57" s="1377" t="s">
        <v>18</v>
      </c>
      <c r="R57" s="1377" t="s">
        <v>18</v>
      </c>
      <c r="S57" s="1377" t="s">
        <v>18</v>
      </c>
      <c r="T57" s="1377" t="s">
        <v>18</v>
      </c>
      <c r="U57" s="1377" t="s">
        <v>18</v>
      </c>
      <c r="V57" s="1377" t="s">
        <v>18</v>
      </c>
      <c r="W57" s="1377" t="s">
        <v>18</v>
      </c>
      <c r="X57" s="1377" t="s">
        <v>18</v>
      </c>
      <c r="Y57" s="1377"/>
      <c r="Z57" s="664"/>
      <c r="AA57" s="665"/>
      <c r="AB57" s="665"/>
      <c r="AC57" s="669"/>
      <c r="AD57" s="669"/>
      <c r="AE57" s="670"/>
      <c r="AF57" s="1408"/>
      <c r="AG57" s="1403"/>
      <c r="AH57" s="1403"/>
      <c r="AI57" s="1408"/>
      <c r="AJ57" s="1403"/>
      <c r="AK57" s="1403"/>
      <c r="AL57" s="703"/>
      <c r="AM57" s="35"/>
      <c r="AN57" s="35"/>
      <c r="AO57" s="35"/>
      <c r="AP57" s="35"/>
      <c r="AQ57" s="35"/>
      <c r="AR57" s="35"/>
      <c r="AS57" s="35"/>
      <c r="AT57" s="35"/>
      <c r="AU57" s="35"/>
      <c r="AV57" s="35"/>
      <c r="AW57" s="35"/>
      <c r="AX57" s="35"/>
      <c r="AY57" s="35"/>
      <c r="AZ57" s="35"/>
      <c r="BA57" s="35"/>
      <c r="BB57" s="35"/>
      <c r="BC57" s="35"/>
      <c r="BD57" s="35"/>
      <c r="BE57" s="35"/>
      <c r="BF57" s="35"/>
    </row>
    <row r="58" spans="1:58" ht="11.25" customHeight="1">
      <c r="A58" s="301" t="s">
        <v>916</v>
      </c>
      <c r="E58" s="11"/>
      <c r="F58" s="1405"/>
      <c r="G58" s="1410"/>
      <c r="H58" s="1410"/>
      <c r="I58" s="1411"/>
      <c r="J58" s="1412"/>
      <c r="K58" s="1413"/>
      <c r="L58" s="1403"/>
      <c r="M58" s="1128"/>
      <c r="N58" s="1414"/>
      <c r="O58" s="1415"/>
      <c r="P58" s="1417"/>
      <c r="Q58" s="1377"/>
      <c r="R58" s="1377"/>
      <c r="S58" s="1409"/>
      <c r="T58" s="1377"/>
      <c r="U58" s="1377"/>
      <c r="V58" s="1377"/>
      <c r="W58" s="1377"/>
      <c r="X58" s="1377"/>
      <c r="Y58" s="1377"/>
      <c r="Z58" s="978"/>
      <c r="AA58" s="969">
        <v>1</v>
      </c>
      <c r="AB58" s="668" t="s">
        <v>951</v>
      </c>
      <c r="AC58" s="371">
        <v>95553.63</v>
      </c>
      <c r="AD58" s="668" t="str">
        <f>AB58</f>
        <v xml:space="preserve">      Прочие амортизационные отчисления</v>
      </c>
      <c r="AE58" s="371">
        <v>93327.82</v>
      </c>
      <c r="AF58" s="1408"/>
      <c r="AG58" s="1403"/>
      <c r="AH58" s="1403"/>
      <c r="AI58" s="1408"/>
      <c r="AJ58" s="1403"/>
      <c r="AK58" s="1403"/>
      <c r="AL58" s="703"/>
      <c r="AM58" s="35"/>
      <c r="AN58" s="35"/>
      <c r="AO58" s="35"/>
      <c r="AP58" s="35"/>
      <c r="AQ58" s="35"/>
      <c r="AR58" s="35"/>
      <c r="AS58" s="35"/>
      <c r="AT58" s="35"/>
      <c r="AU58" s="35"/>
      <c r="AV58" s="35"/>
      <c r="AW58" s="35"/>
      <c r="AX58" s="35"/>
      <c r="AY58" s="35"/>
      <c r="AZ58" s="35"/>
      <c r="BA58" s="35"/>
      <c r="BB58" s="35"/>
      <c r="BC58" s="35"/>
      <c r="BD58" s="35"/>
      <c r="BE58" s="35"/>
      <c r="BF58" s="35"/>
    </row>
    <row r="59" spans="1:58" ht="11.25" customHeight="1">
      <c r="A59" s="301" t="s">
        <v>916</v>
      </c>
      <c r="E59" s="11"/>
      <c r="F59" s="1405"/>
      <c r="G59" s="1410"/>
      <c r="H59" s="1410"/>
      <c r="I59" s="1411"/>
      <c r="J59" s="1412"/>
      <c r="K59" s="1413"/>
      <c r="L59" s="1403"/>
      <c r="M59" s="1128"/>
      <c r="N59" s="1414"/>
      <c r="O59" s="1415"/>
      <c r="P59" s="1418"/>
      <c r="Q59" s="1377"/>
      <c r="R59" s="1377"/>
      <c r="S59" s="1409"/>
      <c r="T59" s="1377"/>
      <c r="U59" s="1377"/>
      <c r="V59" s="1377"/>
      <c r="W59" s="1377"/>
      <c r="X59" s="1377"/>
      <c r="Y59" s="1377"/>
      <c r="Z59" s="664"/>
      <c r="AA59" s="665"/>
      <c r="AB59" s="108" t="s">
        <v>952</v>
      </c>
      <c r="AC59" s="669"/>
      <c r="AD59" s="669"/>
      <c r="AE59" s="671"/>
      <c r="AF59" s="1408"/>
      <c r="AG59" s="1403"/>
      <c r="AH59" s="1403"/>
      <c r="AI59" s="1408"/>
      <c r="AJ59" s="1403"/>
      <c r="AK59" s="1403"/>
      <c r="AL59" s="703"/>
      <c r="AM59" s="35"/>
      <c r="AN59" s="35"/>
      <c r="AO59" s="35"/>
      <c r="AP59" s="35"/>
      <c r="AQ59" s="35"/>
      <c r="AR59" s="35"/>
      <c r="AS59" s="35"/>
      <c r="AT59" s="35"/>
      <c r="AU59" s="35"/>
      <c r="AV59" s="35"/>
      <c r="AW59" s="35"/>
      <c r="AX59" s="35"/>
      <c r="AY59" s="35"/>
      <c r="AZ59" s="35"/>
      <c r="BA59" s="35"/>
      <c r="BB59" s="35"/>
      <c r="BC59" s="35"/>
      <c r="BD59" s="35"/>
      <c r="BE59" s="35"/>
      <c r="BF59" s="35"/>
    </row>
    <row r="60" spans="1:58" ht="11.25" customHeight="1">
      <c r="A60" s="301" t="s">
        <v>916</v>
      </c>
      <c r="E60" s="11"/>
      <c r="F60" s="1405"/>
      <c r="G60" s="1410"/>
      <c r="H60" s="1410"/>
      <c r="I60" s="1411"/>
      <c r="J60" s="1412"/>
      <c r="K60" s="1413"/>
      <c r="L60" s="1403"/>
      <c r="M60" s="1128"/>
      <c r="N60" s="665"/>
      <c r="O60" s="665"/>
      <c r="P60" s="108" t="s">
        <v>953</v>
      </c>
      <c r="Q60" s="665"/>
      <c r="R60" s="665"/>
      <c r="S60" s="665"/>
      <c r="T60" s="665"/>
      <c r="U60" s="665"/>
      <c r="V60" s="665"/>
      <c r="W60" s="665"/>
      <c r="X60" s="665"/>
      <c r="Y60" s="665"/>
      <c r="Z60" s="665"/>
      <c r="AA60" s="665"/>
      <c r="AB60" s="665"/>
      <c r="AC60" s="665"/>
      <c r="AD60" s="665"/>
      <c r="AE60" s="672"/>
      <c r="AF60" s="1408"/>
      <c r="AG60" s="1403"/>
      <c r="AH60" s="1403"/>
      <c r="AI60" s="1408"/>
      <c r="AJ60" s="1403"/>
      <c r="AK60" s="1403"/>
      <c r="AL60" s="703"/>
      <c r="AM60" s="35"/>
      <c r="AN60" s="35"/>
      <c r="AO60" s="35"/>
      <c r="AP60" s="35"/>
      <c r="AQ60" s="35"/>
      <c r="AR60" s="35"/>
      <c r="AS60" s="35"/>
      <c r="AT60" s="35"/>
      <c r="AU60" s="35"/>
      <c r="AV60" s="35"/>
      <c r="AW60" s="35"/>
      <c r="AX60" s="35"/>
      <c r="AY60" s="35"/>
      <c r="AZ60" s="35"/>
      <c r="BA60" s="35"/>
      <c r="BB60" s="35"/>
      <c r="BC60" s="35"/>
      <c r="BD60" s="35"/>
      <c r="BE60" s="35"/>
      <c r="BF60" s="35"/>
    </row>
    <row r="61" spans="1:58" ht="11.25" customHeight="1">
      <c r="A61" s="301" t="s">
        <v>916</v>
      </c>
      <c r="E61" s="11"/>
      <c r="F61" s="1406"/>
      <c r="G61" s="1395" t="s">
        <v>117</v>
      </c>
      <c r="H61" s="1410" t="s">
        <v>106</v>
      </c>
      <c r="I61" s="1411"/>
      <c r="J61" s="1412"/>
      <c r="K61" s="1413" t="s">
        <v>956</v>
      </c>
      <c r="L61" s="1127" t="s">
        <v>52</v>
      </c>
      <c r="M61" s="1128"/>
      <c r="N61" s="1046"/>
      <c r="O61" s="666" t="s">
        <v>375</v>
      </c>
      <c r="P61" s="667"/>
      <c r="Q61" s="667"/>
      <c r="R61" s="667"/>
      <c r="S61" s="667"/>
      <c r="T61" s="667"/>
      <c r="U61" s="667"/>
      <c r="V61" s="667"/>
      <c r="W61" s="667"/>
      <c r="X61" s="667"/>
      <c r="Y61" s="667"/>
      <c r="Z61" s="667"/>
      <c r="AA61" s="667"/>
      <c r="AB61" s="667"/>
      <c r="AC61" s="667"/>
      <c r="AD61" s="667"/>
      <c r="AE61" s="667"/>
      <c r="AF61" s="1408">
        <v>2023</v>
      </c>
      <c r="AG61" s="1403" t="s">
        <v>949</v>
      </c>
      <c r="AH61" s="1403" t="s">
        <v>950</v>
      </c>
      <c r="AI61" s="1408">
        <v>2023</v>
      </c>
      <c r="AJ61" s="1403" t="s">
        <v>949</v>
      </c>
      <c r="AK61" s="1403" t="s">
        <v>950</v>
      </c>
      <c r="AL61" s="703"/>
      <c r="AM61" s="35"/>
      <c r="AN61" s="35"/>
      <c r="AO61" s="35"/>
      <c r="AP61" s="35"/>
      <c r="AQ61" s="35"/>
      <c r="AR61" s="35"/>
      <c r="AS61" s="35"/>
      <c r="AT61" s="35"/>
      <c r="AU61" s="35"/>
      <c r="AV61" s="35"/>
      <c r="AW61" s="35"/>
      <c r="AX61" s="35"/>
      <c r="AY61" s="35"/>
      <c r="AZ61" s="35"/>
      <c r="BA61" s="35"/>
      <c r="BB61" s="35"/>
      <c r="BC61" s="35"/>
      <c r="BD61" s="35"/>
      <c r="BE61" s="35"/>
      <c r="BF61" s="35"/>
    </row>
    <row r="62" spans="1:58" ht="11.25" customHeight="1">
      <c r="A62" s="301" t="s">
        <v>916</v>
      </c>
      <c r="E62" s="11"/>
      <c r="F62" s="1406"/>
      <c r="G62" s="1421"/>
      <c r="H62" s="1410" t="s">
        <v>105</v>
      </c>
      <c r="I62" s="1411"/>
      <c r="J62" s="1412"/>
      <c r="K62" s="1413"/>
      <c r="L62" s="1127"/>
      <c r="M62" s="1128"/>
      <c r="N62" s="1423"/>
      <c r="O62" s="1424">
        <v>1</v>
      </c>
      <c r="P62" s="1416" t="s">
        <v>52</v>
      </c>
      <c r="Q62" s="1377" t="s">
        <v>18</v>
      </c>
      <c r="R62" s="1377" t="s">
        <v>18</v>
      </c>
      <c r="S62" s="1377" t="s">
        <v>18</v>
      </c>
      <c r="T62" s="1377" t="s">
        <v>18</v>
      </c>
      <c r="U62" s="1377" t="s">
        <v>18</v>
      </c>
      <c r="V62" s="1377" t="s">
        <v>18</v>
      </c>
      <c r="W62" s="1377" t="s">
        <v>18</v>
      </c>
      <c r="X62" s="1377" t="s">
        <v>18</v>
      </c>
      <c r="Y62" s="1377"/>
      <c r="Z62" s="664"/>
      <c r="AA62" s="665"/>
      <c r="AB62" s="665"/>
      <c r="AC62" s="669"/>
      <c r="AD62" s="669"/>
      <c r="AE62" s="670"/>
      <c r="AF62" s="1408"/>
      <c r="AG62" s="1403"/>
      <c r="AH62" s="1403"/>
      <c r="AI62" s="1408"/>
      <c r="AJ62" s="1403"/>
      <c r="AK62" s="1403"/>
      <c r="AL62" s="703"/>
      <c r="AM62" s="35"/>
      <c r="AN62" s="35"/>
      <c r="AO62" s="35"/>
      <c r="AP62" s="35"/>
      <c r="AQ62" s="35"/>
      <c r="AR62" s="35"/>
      <c r="AS62" s="35"/>
      <c r="AT62" s="35"/>
      <c r="AU62" s="35"/>
      <c r="AV62" s="35"/>
      <c r="AW62" s="35"/>
      <c r="AX62" s="35"/>
      <c r="AY62" s="35"/>
      <c r="AZ62" s="35"/>
      <c r="BA62" s="35"/>
      <c r="BB62" s="35"/>
      <c r="BC62" s="35"/>
      <c r="BD62" s="35"/>
      <c r="BE62" s="35"/>
      <c r="BF62" s="35"/>
    </row>
    <row r="63" spans="1:58" ht="11.25" customHeight="1">
      <c r="A63" s="301" t="s">
        <v>916</v>
      </c>
      <c r="E63" s="11"/>
      <c r="F63" s="1406"/>
      <c r="G63" s="1421"/>
      <c r="H63" s="1410" t="s">
        <v>105</v>
      </c>
      <c r="I63" s="1411"/>
      <c r="J63" s="1412"/>
      <c r="K63" s="1413"/>
      <c r="L63" s="1127"/>
      <c r="M63" s="1128"/>
      <c r="N63" s="1423"/>
      <c r="O63" s="1424"/>
      <c r="P63" s="1417"/>
      <c r="Q63" s="1377"/>
      <c r="R63" s="1377"/>
      <c r="S63" s="1409"/>
      <c r="T63" s="1377"/>
      <c r="U63" s="1377"/>
      <c r="V63" s="1377"/>
      <c r="W63" s="1377"/>
      <c r="X63" s="1377"/>
      <c r="Y63" s="1377"/>
      <c r="Z63" s="978"/>
      <c r="AA63" s="969">
        <v>1</v>
      </c>
      <c r="AB63" s="668" t="s">
        <v>951</v>
      </c>
      <c r="AC63" s="371">
        <v>18100</v>
      </c>
      <c r="AD63" s="668" t="str">
        <f>AB63</f>
        <v xml:space="preserve">      Прочие амортизационные отчисления</v>
      </c>
      <c r="AE63" s="371">
        <v>18788.240000000002</v>
      </c>
      <c r="AF63" s="1408"/>
      <c r="AG63" s="1403"/>
      <c r="AH63" s="1403"/>
      <c r="AI63" s="1408"/>
      <c r="AJ63" s="1403"/>
      <c r="AK63" s="1403"/>
      <c r="AL63" s="703"/>
      <c r="AM63" s="35"/>
      <c r="AN63" s="35"/>
      <c r="AO63" s="35"/>
      <c r="AP63" s="35"/>
      <c r="AQ63" s="35"/>
      <c r="AR63" s="35"/>
      <c r="AS63" s="35"/>
      <c r="AT63" s="35"/>
      <c r="AU63" s="35"/>
      <c r="AV63" s="35"/>
      <c r="AW63" s="35"/>
      <c r="AX63" s="35"/>
      <c r="AY63" s="35"/>
      <c r="AZ63" s="35"/>
      <c r="BA63" s="35"/>
      <c r="BB63" s="35"/>
      <c r="BC63" s="35"/>
      <c r="BD63" s="35"/>
      <c r="BE63" s="35"/>
      <c r="BF63" s="35"/>
    </row>
    <row r="64" spans="1:58" ht="11.25" customHeight="1">
      <c r="A64" s="301" t="s">
        <v>916</v>
      </c>
      <c r="E64" s="11"/>
      <c r="F64" s="1406"/>
      <c r="G64" s="1421"/>
      <c r="H64" s="1410" t="s">
        <v>105</v>
      </c>
      <c r="I64" s="1411"/>
      <c r="J64" s="1412"/>
      <c r="K64" s="1413"/>
      <c r="L64" s="1127"/>
      <c r="M64" s="1128"/>
      <c r="N64" s="1423"/>
      <c r="O64" s="1424"/>
      <c r="P64" s="1418"/>
      <c r="Q64" s="1377"/>
      <c r="R64" s="1377"/>
      <c r="S64" s="1409"/>
      <c r="T64" s="1377"/>
      <c r="U64" s="1377"/>
      <c r="V64" s="1377"/>
      <c r="W64" s="1377"/>
      <c r="X64" s="1377"/>
      <c r="Y64" s="1377"/>
      <c r="Z64" s="664"/>
      <c r="AA64" s="665"/>
      <c r="AB64" s="108" t="s">
        <v>952</v>
      </c>
      <c r="AC64" s="669"/>
      <c r="AD64" s="669"/>
      <c r="AE64" s="671"/>
      <c r="AF64" s="1408"/>
      <c r="AG64" s="1403"/>
      <c r="AH64" s="1403"/>
      <c r="AI64" s="1408"/>
      <c r="AJ64" s="1403"/>
      <c r="AK64" s="1403"/>
      <c r="AL64" s="703"/>
      <c r="AM64" s="35"/>
      <c r="AN64" s="35"/>
      <c r="AO64" s="35"/>
      <c r="AP64" s="35"/>
      <c r="AQ64" s="35"/>
      <c r="AR64" s="35"/>
      <c r="AS64" s="35"/>
      <c r="AT64" s="35"/>
      <c r="AU64" s="35"/>
      <c r="AV64" s="35"/>
      <c r="AW64" s="35"/>
      <c r="AX64" s="35"/>
      <c r="AY64" s="35"/>
      <c r="AZ64" s="35"/>
      <c r="BA64" s="35"/>
      <c r="BB64" s="35"/>
      <c r="BC64" s="35"/>
      <c r="BD64" s="35"/>
      <c r="BE64" s="35"/>
      <c r="BF64" s="35"/>
    </row>
    <row r="65" spans="1:58" ht="11.25" customHeight="1">
      <c r="A65" s="301" t="s">
        <v>916</v>
      </c>
      <c r="E65" s="11"/>
      <c r="F65" s="1406"/>
      <c r="G65" s="1421"/>
      <c r="H65" s="1410" t="s">
        <v>105</v>
      </c>
      <c r="I65" s="1411"/>
      <c r="J65" s="1412"/>
      <c r="K65" s="1413"/>
      <c r="L65" s="1127"/>
      <c r="M65" s="1128"/>
      <c r="N65" s="664"/>
      <c r="O65" s="665"/>
      <c r="P65" s="108" t="s">
        <v>953</v>
      </c>
      <c r="Q65" s="665"/>
      <c r="R65" s="665"/>
      <c r="S65" s="665"/>
      <c r="T65" s="665"/>
      <c r="U65" s="665"/>
      <c r="V65" s="665"/>
      <c r="W65" s="665"/>
      <c r="X65" s="665"/>
      <c r="Y65" s="665"/>
      <c r="Z65" s="665"/>
      <c r="AA65" s="665"/>
      <c r="AB65" s="665"/>
      <c r="AC65" s="665"/>
      <c r="AD65" s="665"/>
      <c r="AE65" s="672"/>
      <c r="AF65" s="1408"/>
      <c r="AG65" s="1403"/>
      <c r="AH65" s="1403"/>
      <c r="AI65" s="1408"/>
      <c r="AJ65" s="1403"/>
      <c r="AK65" s="1403"/>
      <c r="AL65" s="703"/>
      <c r="AM65" s="35"/>
      <c r="AN65" s="35"/>
      <c r="AO65" s="35"/>
      <c r="AP65" s="35"/>
      <c r="AQ65" s="35"/>
      <c r="AR65" s="35"/>
      <c r="AS65" s="35"/>
      <c r="AT65" s="35"/>
      <c r="AU65" s="35"/>
      <c r="AV65" s="35"/>
      <c r="AW65" s="35"/>
      <c r="AX65" s="35"/>
      <c r="AY65" s="35"/>
      <c r="AZ65" s="35"/>
      <c r="BA65" s="35"/>
      <c r="BB65" s="35"/>
      <c r="BC65" s="35"/>
      <c r="BD65" s="35"/>
      <c r="BE65" s="35"/>
      <c r="BF65" s="35"/>
    </row>
    <row r="66" spans="1:58" ht="11.25" customHeight="1">
      <c r="A66" s="301" t="s">
        <v>916</v>
      </c>
      <c r="E66" s="11"/>
      <c r="F66" s="1406"/>
      <c r="G66" s="1395" t="s">
        <v>117</v>
      </c>
      <c r="H66" s="1410" t="s">
        <v>86</v>
      </c>
      <c r="I66" s="1411"/>
      <c r="J66" s="1412"/>
      <c r="K66" s="1413" t="s">
        <v>959</v>
      </c>
      <c r="L66" s="1127" t="s">
        <v>52</v>
      </c>
      <c r="M66" s="1128"/>
      <c r="N66" s="1046"/>
      <c r="O66" s="666" t="s">
        <v>375</v>
      </c>
      <c r="P66" s="667"/>
      <c r="Q66" s="667"/>
      <c r="R66" s="667"/>
      <c r="S66" s="667"/>
      <c r="T66" s="667"/>
      <c r="U66" s="667"/>
      <c r="V66" s="667"/>
      <c r="W66" s="667"/>
      <c r="X66" s="667"/>
      <c r="Y66" s="667"/>
      <c r="Z66" s="667"/>
      <c r="AA66" s="667"/>
      <c r="AB66" s="667"/>
      <c r="AC66" s="667"/>
      <c r="AD66" s="667"/>
      <c r="AE66" s="667"/>
      <c r="AF66" s="1408">
        <v>2026</v>
      </c>
      <c r="AG66" s="1403" t="s">
        <v>949</v>
      </c>
      <c r="AH66" s="1403" t="s">
        <v>950</v>
      </c>
      <c r="AI66" s="1408">
        <v>2026</v>
      </c>
      <c r="AJ66" s="1403" t="s">
        <v>949</v>
      </c>
      <c r="AK66" s="1403" t="s">
        <v>950</v>
      </c>
      <c r="AL66" s="703"/>
      <c r="AM66" s="35"/>
      <c r="AN66" s="35"/>
      <c r="AO66" s="35"/>
      <c r="AP66" s="35"/>
      <c r="AQ66" s="35"/>
      <c r="AR66" s="35"/>
      <c r="AS66" s="35"/>
      <c r="AT66" s="35"/>
      <c r="AU66" s="35"/>
      <c r="AV66" s="35"/>
      <c r="AW66" s="35"/>
      <c r="AX66" s="35"/>
      <c r="AY66" s="35"/>
      <c r="AZ66" s="35"/>
      <c r="BA66" s="35"/>
      <c r="BB66" s="35"/>
      <c r="BC66" s="35"/>
      <c r="BD66" s="35"/>
      <c r="BE66" s="35"/>
      <c r="BF66" s="35"/>
    </row>
    <row r="67" spans="1:58" ht="11.25" customHeight="1">
      <c r="A67" s="301" t="s">
        <v>916</v>
      </c>
      <c r="E67" s="11"/>
      <c r="F67" s="1406"/>
      <c r="G67" s="1421"/>
      <c r="H67" s="1410" t="s">
        <v>106</v>
      </c>
      <c r="I67" s="1411"/>
      <c r="J67" s="1412"/>
      <c r="K67" s="1413"/>
      <c r="L67" s="1127"/>
      <c r="M67" s="1128"/>
      <c r="N67" s="1423"/>
      <c r="O67" s="1424">
        <v>1</v>
      </c>
      <c r="P67" s="1416" t="s">
        <v>52</v>
      </c>
      <c r="Q67" s="1377" t="s">
        <v>18</v>
      </c>
      <c r="R67" s="1377" t="s">
        <v>18</v>
      </c>
      <c r="S67" s="1377" t="s">
        <v>18</v>
      </c>
      <c r="T67" s="1377" t="s">
        <v>18</v>
      </c>
      <c r="U67" s="1377" t="s">
        <v>18</v>
      </c>
      <c r="V67" s="1377" t="s">
        <v>18</v>
      </c>
      <c r="W67" s="1377" t="s">
        <v>18</v>
      </c>
      <c r="X67" s="1377" t="s">
        <v>18</v>
      </c>
      <c r="Y67" s="1377"/>
      <c r="Z67" s="664"/>
      <c r="AA67" s="665"/>
      <c r="AB67" s="665"/>
      <c r="AC67" s="669"/>
      <c r="AD67" s="669"/>
      <c r="AE67" s="670"/>
      <c r="AF67" s="1408"/>
      <c r="AG67" s="1403"/>
      <c r="AH67" s="1403"/>
      <c r="AI67" s="1408"/>
      <c r="AJ67" s="1403"/>
      <c r="AK67" s="1403"/>
      <c r="AL67" s="703"/>
      <c r="AM67" s="35"/>
      <c r="AN67" s="35"/>
      <c r="AO67" s="35"/>
      <c r="AP67" s="35"/>
      <c r="AQ67" s="35"/>
      <c r="AR67" s="35"/>
      <c r="AS67" s="35"/>
      <c r="AT67" s="35"/>
      <c r="AU67" s="35"/>
      <c r="AV67" s="35"/>
      <c r="AW67" s="35"/>
      <c r="AX67" s="35"/>
      <c r="AY67" s="35"/>
      <c r="AZ67" s="35"/>
      <c r="BA67" s="35"/>
      <c r="BB67" s="35"/>
      <c r="BC67" s="35"/>
      <c r="BD67" s="35"/>
      <c r="BE67" s="35"/>
      <c r="BF67" s="35"/>
    </row>
    <row r="68" spans="1:58" ht="11.25" customHeight="1">
      <c r="A68" s="301" t="s">
        <v>916</v>
      </c>
      <c r="E68" s="11"/>
      <c r="F68" s="1406"/>
      <c r="G68" s="1421"/>
      <c r="H68" s="1410" t="s">
        <v>106</v>
      </c>
      <c r="I68" s="1411"/>
      <c r="J68" s="1412"/>
      <c r="K68" s="1413"/>
      <c r="L68" s="1127"/>
      <c r="M68" s="1128"/>
      <c r="N68" s="1423"/>
      <c r="O68" s="1424"/>
      <c r="P68" s="1417"/>
      <c r="Q68" s="1377"/>
      <c r="R68" s="1377"/>
      <c r="S68" s="1409"/>
      <c r="T68" s="1377"/>
      <c r="U68" s="1377"/>
      <c r="V68" s="1377"/>
      <c r="W68" s="1377"/>
      <c r="X68" s="1377"/>
      <c r="Y68" s="1377"/>
      <c r="Z68" s="978"/>
      <c r="AA68" s="969">
        <v>1</v>
      </c>
      <c r="AB68" s="668" t="s">
        <v>951</v>
      </c>
      <c r="AC68" s="371">
        <v>2368.5700000000002</v>
      </c>
      <c r="AD68" s="668" t="str">
        <f>AB68</f>
        <v xml:space="preserve">      Прочие амортизационные отчисления</v>
      </c>
      <c r="AE68" s="371">
        <v>2357.98</v>
      </c>
      <c r="AF68" s="1408"/>
      <c r="AG68" s="1403"/>
      <c r="AH68" s="1403"/>
      <c r="AI68" s="1408"/>
      <c r="AJ68" s="1403"/>
      <c r="AK68" s="1403"/>
      <c r="AL68" s="703"/>
      <c r="AM68" s="35"/>
      <c r="AN68" s="35"/>
      <c r="AO68" s="35"/>
      <c r="AP68" s="35"/>
      <c r="AQ68" s="35"/>
      <c r="AR68" s="35"/>
      <c r="AS68" s="35"/>
      <c r="AT68" s="35"/>
      <c r="AU68" s="35"/>
      <c r="AV68" s="35"/>
      <c r="AW68" s="35"/>
      <c r="AX68" s="35"/>
      <c r="AY68" s="35"/>
      <c r="AZ68" s="35"/>
      <c r="BA68" s="35"/>
      <c r="BB68" s="35"/>
      <c r="BC68" s="35"/>
      <c r="BD68" s="35"/>
      <c r="BE68" s="35"/>
      <c r="BF68" s="35"/>
    </row>
    <row r="69" spans="1:58" ht="11.25" customHeight="1">
      <c r="A69" s="301" t="s">
        <v>916</v>
      </c>
      <c r="E69" s="11"/>
      <c r="F69" s="1406"/>
      <c r="G69" s="1421"/>
      <c r="H69" s="1410" t="s">
        <v>106</v>
      </c>
      <c r="I69" s="1411"/>
      <c r="J69" s="1412"/>
      <c r="K69" s="1413"/>
      <c r="L69" s="1127"/>
      <c r="M69" s="1128"/>
      <c r="N69" s="1423"/>
      <c r="O69" s="1424"/>
      <c r="P69" s="1418"/>
      <c r="Q69" s="1377"/>
      <c r="R69" s="1377"/>
      <c r="S69" s="1409"/>
      <c r="T69" s="1377"/>
      <c r="U69" s="1377"/>
      <c r="V69" s="1377"/>
      <c r="W69" s="1377"/>
      <c r="X69" s="1377"/>
      <c r="Y69" s="1377"/>
      <c r="Z69" s="664"/>
      <c r="AA69" s="665"/>
      <c r="AB69" s="108" t="s">
        <v>952</v>
      </c>
      <c r="AC69" s="669"/>
      <c r="AD69" s="669"/>
      <c r="AE69" s="671"/>
      <c r="AF69" s="1408"/>
      <c r="AG69" s="1403"/>
      <c r="AH69" s="1403"/>
      <c r="AI69" s="1408"/>
      <c r="AJ69" s="1403"/>
      <c r="AK69" s="1403"/>
      <c r="AL69" s="703"/>
      <c r="AM69" s="35"/>
      <c r="AN69" s="35"/>
      <c r="AO69" s="35"/>
      <c r="AP69" s="35"/>
      <c r="AQ69" s="35"/>
      <c r="AR69" s="35"/>
      <c r="AS69" s="35"/>
      <c r="AT69" s="35"/>
      <c r="AU69" s="35"/>
      <c r="AV69" s="35"/>
      <c r="AW69" s="35"/>
      <c r="AX69" s="35"/>
      <c r="AY69" s="35"/>
      <c r="AZ69" s="35"/>
      <c r="BA69" s="35"/>
      <c r="BB69" s="35"/>
      <c r="BC69" s="35"/>
      <c r="BD69" s="35"/>
      <c r="BE69" s="35"/>
      <c r="BF69" s="35"/>
    </row>
    <row r="70" spans="1:58" ht="11.25" customHeight="1">
      <c r="A70" s="301" t="s">
        <v>916</v>
      </c>
      <c r="E70" s="11"/>
      <c r="F70" s="1406"/>
      <c r="G70" s="1421"/>
      <c r="H70" s="1410" t="s">
        <v>106</v>
      </c>
      <c r="I70" s="1411"/>
      <c r="J70" s="1412"/>
      <c r="K70" s="1413"/>
      <c r="L70" s="1127"/>
      <c r="M70" s="1128"/>
      <c r="N70" s="664"/>
      <c r="O70" s="665"/>
      <c r="P70" s="108" t="s">
        <v>953</v>
      </c>
      <c r="Q70" s="665"/>
      <c r="R70" s="665"/>
      <c r="S70" s="665"/>
      <c r="T70" s="665"/>
      <c r="U70" s="665"/>
      <c r="V70" s="665"/>
      <c r="W70" s="665"/>
      <c r="X70" s="665"/>
      <c r="Y70" s="665"/>
      <c r="Z70" s="665"/>
      <c r="AA70" s="665"/>
      <c r="AB70" s="665"/>
      <c r="AC70" s="665"/>
      <c r="AD70" s="665"/>
      <c r="AE70" s="672"/>
      <c r="AF70" s="1408"/>
      <c r="AG70" s="1403"/>
      <c r="AH70" s="1403"/>
      <c r="AI70" s="1408"/>
      <c r="AJ70" s="1403"/>
      <c r="AK70" s="1403"/>
      <c r="AL70" s="703"/>
      <c r="AM70" s="35"/>
      <c r="AN70" s="35"/>
      <c r="AO70" s="35"/>
      <c r="AP70" s="35"/>
      <c r="AQ70" s="35"/>
      <c r="AR70" s="35"/>
      <c r="AS70" s="35"/>
      <c r="AT70" s="35"/>
      <c r="AU70" s="35"/>
      <c r="AV70" s="35"/>
      <c r="AW70" s="35"/>
      <c r="AX70" s="35"/>
      <c r="AY70" s="35"/>
      <c r="AZ70" s="35"/>
      <c r="BA70" s="35"/>
      <c r="BB70" s="35"/>
      <c r="BC70" s="35"/>
      <c r="BD70" s="35"/>
      <c r="BE70" s="35"/>
      <c r="BF70" s="35"/>
    </row>
    <row r="71" spans="1:58" ht="11.25" customHeight="1">
      <c r="A71" s="301" t="s">
        <v>916</v>
      </c>
      <c r="E71" s="11"/>
      <c r="F71" s="1406"/>
      <c r="G71" s="1395" t="s">
        <v>117</v>
      </c>
      <c r="H71" s="1410" t="s">
        <v>87</v>
      </c>
      <c r="I71" s="1411"/>
      <c r="J71" s="1412"/>
      <c r="K71" s="1413" t="s">
        <v>962</v>
      </c>
      <c r="L71" s="1127" t="s">
        <v>52</v>
      </c>
      <c r="M71" s="1128"/>
      <c r="N71" s="1046"/>
      <c r="O71" s="666" t="s">
        <v>375</v>
      </c>
      <c r="P71" s="667"/>
      <c r="Q71" s="667"/>
      <c r="R71" s="667"/>
      <c r="S71" s="667"/>
      <c r="T71" s="667"/>
      <c r="U71" s="667"/>
      <c r="V71" s="667"/>
      <c r="W71" s="667"/>
      <c r="X71" s="667"/>
      <c r="Y71" s="667"/>
      <c r="Z71" s="667"/>
      <c r="AA71" s="667"/>
      <c r="AB71" s="667"/>
      <c r="AC71" s="667"/>
      <c r="AD71" s="667"/>
      <c r="AE71" s="667"/>
      <c r="AF71" s="1408">
        <v>2025</v>
      </c>
      <c r="AG71" s="1403" t="s">
        <v>949</v>
      </c>
      <c r="AH71" s="1403" t="s">
        <v>950</v>
      </c>
      <c r="AI71" s="1408">
        <v>2025</v>
      </c>
      <c r="AJ71" s="1403" t="s">
        <v>949</v>
      </c>
      <c r="AK71" s="1403" t="s">
        <v>950</v>
      </c>
      <c r="AL71" s="703"/>
      <c r="AM71" s="35"/>
      <c r="AN71" s="35"/>
      <c r="AO71" s="35"/>
      <c r="AP71" s="35"/>
      <c r="AQ71" s="35"/>
      <c r="AR71" s="35"/>
      <c r="AS71" s="35"/>
      <c r="AT71" s="35"/>
      <c r="AU71" s="35"/>
      <c r="AV71" s="35"/>
      <c r="AW71" s="35"/>
      <c r="AX71" s="35"/>
      <c r="AY71" s="35"/>
      <c r="AZ71" s="35"/>
      <c r="BA71" s="35"/>
      <c r="BB71" s="35"/>
      <c r="BC71" s="35"/>
      <c r="BD71" s="35"/>
      <c r="BE71" s="35"/>
      <c r="BF71" s="35"/>
    </row>
    <row r="72" spans="1:58" ht="11.25" customHeight="1">
      <c r="A72" s="301" t="s">
        <v>916</v>
      </c>
      <c r="E72" s="11"/>
      <c r="F72" s="1406"/>
      <c r="G72" s="1421"/>
      <c r="H72" s="1410" t="s">
        <v>86</v>
      </c>
      <c r="I72" s="1411"/>
      <c r="J72" s="1412"/>
      <c r="K72" s="1413"/>
      <c r="L72" s="1127"/>
      <c r="M72" s="1128"/>
      <c r="N72" s="1423"/>
      <c r="O72" s="1424">
        <v>1</v>
      </c>
      <c r="P72" s="1416" t="s">
        <v>52</v>
      </c>
      <c r="Q72" s="1377" t="s">
        <v>18</v>
      </c>
      <c r="R72" s="1377" t="s">
        <v>18</v>
      </c>
      <c r="S72" s="1377" t="s">
        <v>18</v>
      </c>
      <c r="T72" s="1377" t="s">
        <v>18</v>
      </c>
      <c r="U72" s="1377" t="s">
        <v>18</v>
      </c>
      <c r="V72" s="1377" t="s">
        <v>18</v>
      </c>
      <c r="W72" s="1377" t="s">
        <v>18</v>
      </c>
      <c r="X72" s="1377" t="s">
        <v>18</v>
      </c>
      <c r="Y72" s="1377"/>
      <c r="Z72" s="664"/>
      <c r="AA72" s="665"/>
      <c r="AB72" s="665"/>
      <c r="AC72" s="669"/>
      <c r="AD72" s="669"/>
      <c r="AE72" s="670"/>
      <c r="AF72" s="1408"/>
      <c r="AG72" s="1403"/>
      <c r="AH72" s="1403"/>
      <c r="AI72" s="1408"/>
      <c r="AJ72" s="1403"/>
      <c r="AK72" s="1403"/>
      <c r="AL72" s="703"/>
      <c r="AM72" s="35"/>
      <c r="AN72" s="35"/>
      <c r="AO72" s="35"/>
      <c r="AP72" s="35"/>
      <c r="AQ72" s="35"/>
      <c r="AR72" s="35"/>
      <c r="AS72" s="35"/>
      <c r="AT72" s="35"/>
      <c r="AU72" s="35"/>
      <c r="AV72" s="35"/>
      <c r="AW72" s="35"/>
      <c r="AX72" s="35"/>
      <c r="AY72" s="35"/>
      <c r="AZ72" s="35"/>
      <c r="BA72" s="35"/>
      <c r="BB72" s="35"/>
      <c r="BC72" s="35"/>
      <c r="BD72" s="35"/>
      <c r="BE72" s="35"/>
      <c r="BF72" s="35"/>
    </row>
    <row r="73" spans="1:58" ht="11.25" customHeight="1">
      <c r="A73" s="301" t="s">
        <v>916</v>
      </c>
      <c r="E73" s="11"/>
      <c r="F73" s="1406"/>
      <c r="G73" s="1421"/>
      <c r="H73" s="1410" t="s">
        <v>86</v>
      </c>
      <c r="I73" s="1411"/>
      <c r="J73" s="1412"/>
      <c r="K73" s="1413"/>
      <c r="L73" s="1127"/>
      <c r="M73" s="1128"/>
      <c r="N73" s="1423"/>
      <c r="O73" s="1424"/>
      <c r="P73" s="1417"/>
      <c r="Q73" s="1377"/>
      <c r="R73" s="1377"/>
      <c r="S73" s="1409"/>
      <c r="T73" s="1377"/>
      <c r="U73" s="1377"/>
      <c r="V73" s="1377"/>
      <c r="W73" s="1377"/>
      <c r="X73" s="1377"/>
      <c r="Y73" s="1377"/>
      <c r="Z73" s="978"/>
      <c r="AA73" s="969">
        <v>1</v>
      </c>
      <c r="AB73" s="668" t="s">
        <v>951</v>
      </c>
      <c r="AC73" s="371">
        <v>4526.18</v>
      </c>
      <c r="AD73" s="668" t="str">
        <f>AB73</f>
        <v xml:space="preserve">      Прочие амортизационные отчисления</v>
      </c>
      <c r="AE73" s="371">
        <v>4685.47</v>
      </c>
      <c r="AF73" s="1408"/>
      <c r="AG73" s="1403"/>
      <c r="AH73" s="1403"/>
      <c r="AI73" s="1408"/>
      <c r="AJ73" s="1403"/>
      <c r="AK73" s="1403"/>
      <c r="AL73" s="703"/>
      <c r="AM73" s="35"/>
      <c r="AN73" s="35"/>
      <c r="AO73" s="35"/>
      <c r="AP73" s="35"/>
      <c r="AQ73" s="35"/>
      <c r="AR73" s="35"/>
      <c r="AS73" s="35"/>
      <c r="AT73" s="35"/>
      <c r="AU73" s="35"/>
      <c r="AV73" s="35"/>
      <c r="AW73" s="35"/>
      <c r="AX73" s="35"/>
      <c r="AY73" s="35"/>
      <c r="AZ73" s="35"/>
      <c r="BA73" s="35"/>
      <c r="BB73" s="35"/>
      <c r="BC73" s="35"/>
      <c r="BD73" s="35"/>
      <c r="BE73" s="35"/>
      <c r="BF73" s="35"/>
    </row>
    <row r="74" spans="1:58" ht="11.25" customHeight="1">
      <c r="A74" s="301" t="s">
        <v>916</v>
      </c>
      <c r="E74" s="11"/>
      <c r="F74" s="1406"/>
      <c r="G74" s="1421"/>
      <c r="H74" s="1410" t="s">
        <v>86</v>
      </c>
      <c r="I74" s="1411"/>
      <c r="J74" s="1412"/>
      <c r="K74" s="1413"/>
      <c r="L74" s="1127"/>
      <c r="M74" s="1128"/>
      <c r="N74" s="1423"/>
      <c r="O74" s="1424"/>
      <c r="P74" s="1418"/>
      <c r="Q74" s="1377"/>
      <c r="R74" s="1377"/>
      <c r="S74" s="1409"/>
      <c r="T74" s="1377"/>
      <c r="U74" s="1377"/>
      <c r="V74" s="1377"/>
      <c r="W74" s="1377"/>
      <c r="X74" s="1377"/>
      <c r="Y74" s="1377"/>
      <c r="Z74" s="664"/>
      <c r="AA74" s="665"/>
      <c r="AB74" s="108" t="s">
        <v>952</v>
      </c>
      <c r="AC74" s="669"/>
      <c r="AD74" s="669"/>
      <c r="AE74" s="671"/>
      <c r="AF74" s="1408"/>
      <c r="AG74" s="1403"/>
      <c r="AH74" s="1403"/>
      <c r="AI74" s="1408"/>
      <c r="AJ74" s="1403"/>
      <c r="AK74" s="1403"/>
      <c r="AL74" s="703"/>
      <c r="AM74" s="35"/>
      <c r="AN74" s="35"/>
      <c r="AO74" s="35"/>
      <c r="AP74" s="35"/>
      <c r="AQ74" s="35"/>
      <c r="AR74" s="35"/>
      <c r="AS74" s="35"/>
      <c r="AT74" s="35"/>
      <c r="AU74" s="35"/>
      <c r="AV74" s="35"/>
      <c r="AW74" s="35"/>
      <c r="AX74" s="35"/>
      <c r="AY74" s="35"/>
      <c r="AZ74" s="35"/>
      <c r="BA74" s="35"/>
      <c r="BB74" s="35"/>
      <c r="BC74" s="35"/>
      <c r="BD74" s="35"/>
      <c r="BE74" s="35"/>
      <c r="BF74" s="35"/>
    </row>
    <row r="75" spans="1:58" ht="11.25" customHeight="1">
      <c r="A75" s="301" t="s">
        <v>916</v>
      </c>
      <c r="E75" s="11"/>
      <c r="F75" s="1406"/>
      <c r="G75" s="1421"/>
      <c r="H75" s="1410" t="s">
        <v>86</v>
      </c>
      <c r="I75" s="1411"/>
      <c r="J75" s="1412"/>
      <c r="K75" s="1413"/>
      <c r="L75" s="1127"/>
      <c r="M75" s="1128"/>
      <c r="N75" s="664"/>
      <c r="O75" s="665"/>
      <c r="P75" s="108" t="s">
        <v>953</v>
      </c>
      <c r="Q75" s="665"/>
      <c r="R75" s="665"/>
      <c r="S75" s="665"/>
      <c r="T75" s="665"/>
      <c r="U75" s="665"/>
      <c r="V75" s="665"/>
      <c r="W75" s="665"/>
      <c r="X75" s="665"/>
      <c r="Y75" s="665"/>
      <c r="Z75" s="665"/>
      <c r="AA75" s="665"/>
      <c r="AB75" s="665"/>
      <c r="AC75" s="665"/>
      <c r="AD75" s="665"/>
      <c r="AE75" s="672"/>
      <c r="AF75" s="1408"/>
      <c r="AG75" s="1403"/>
      <c r="AH75" s="1403"/>
      <c r="AI75" s="1408"/>
      <c r="AJ75" s="1403"/>
      <c r="AK75" s="1403"/>
      <c r="AL75" s="703"/>
      <c r="AM75" s="35"/>
      <c r="AN75" s="35"/>
      <c r="AO75" s="35"/>
      <c r="AP75" s="35"/>
      <c r="AQ75" s="35"/>
      <c r="AR75" s="35"/>
      <c r="AS75" s="35"/>
      <c r="AT75" s="35"/>
      <c r="AU75" s="35"/>
      <c r="AV75" s="35"/>
      <c r="AW75" s="35"/>
      <c r="AX75" s="35"/>
      <c r="AY75" s="35"/>
      <c r="AZ75" s="35"/>
      <c r="BA75" s="35"/>
      <c r="BB75" s="35"/>
      <c r="BC75" s="35"/>
      <c r="BD75" s="35"/>
      <c r="BE75" s="35"/>
      <c r="BF75" s="35"/>
    </row>
    <row r="76" spans="1:58" ht="11.25" customHeight="1">
      <c r="A76" s="301" t="s">
        <v>916</v>
      </c>
      <c r="E76" s="11"/>
      <c r="F76" s="1406"/>
      <c r="G76" s="1395" t="s">
        <v>117</v>
      </c>
      <c r="H76" s="1410" t="s">
        <v>107</v>
      </c>
      <c r="I76" s="1411"/>
      <c r="J76" s="1412"/>
      <c r="K76" s="1413" t="s">
        <v>963</v>
      </c>
      <c r="L76" s="1127" t="s">
        <v>52</v>
      </c>
      <c r="M76" s="1128"/>
      <c r="N76" s="1046"/>
      <c r="O76" s="666" t="s">
        <v>375</v>
      </c>
      <c r="P76" s="667"/>
      <c r="Q76" s="667"/>
      <c r="R76" s="667"/>
      <c r="S76" s="667"/>
      <c r="T76" s="667"/>
      <c r="U76" s="667"/>
      <c r="V76" s="667"/>
      <c r="W76" s="667"/>
      <c r="X76" s="667"/>
      <c r="Y76" s="667"/>
      <c r="Z76" s="667"/>
      <c r="AA76" s="667"/>
      <c r="AB76" s="667"/>
      <c r="AC76" s="667"/>
      <c r="AD76" s="667"/>
      <c r="AE76" s="667"/>
      <c r="AF76" s="1408">
        <v>2026</v>
      </c>
      <c r="AG76" s="1403" t="s">
        <v>949</v>
      </c>
      <c r="AH76" s="1403" t="s">
        <v>950</v>
      </c>
      <c r="AI76" s="1408">
        <v>2026</v>
      </c>
      <c r="AJ76" s="1403" t="s">
        <v>949</v>
      </c>
      <c r="AK76" s="1403" t="s">
        <v>950</v>
      </c>
      <c r="AL76" s="703"/>
      <c r="AM76" s="35"/>
      <c r="AN76" s="35"/>
      <c r="AO76" s="35"/>
      <c r="AP76" s="35"/>
      <c r="AQ76" s="35"/>
      <c r="AR76" s="35"/>
      <c r="AS76" s="35"/>
      <c r="AT76" s="35"/>
      <c r="AU76" s="35"/>
      <c r="AV76" s="35"/>
      <c r="AW76" s="35"/>
      <c r="AX76" s="35"/>
      <c r="AY76" s="35"/>
      <c r="AZ76" s="35"/>
      <c r="BA76" s="35"/>
      <c r="BB76" s="35"/>
      <c r="BC76" s="35"/>
      <c r="BD76" s="35"/>
      <c r="BE76" s="35"/>
      <c r="BF76" s="35"/>
    </row>
    <row r="77" spans="1:58" ht="11.25" customHeight="1">
      <c r="A77" s="301" t="s">
        <v>916</v>
      </c>
      <c r="E77" s="11"/>
      <c r="F77" s="1406"/>
      <c r="G77" s="1421"/>
      <c r="H77" s="1410" t="s">
        <v>87</v>
      </c>
      <c r="I77" s="1411"/>
      <c r="J77" s="1412"/>
      <c r="K77" s="1413"/>
      <c r="L77" s="1127"/>
      <c r="M77" s="1128"/>
      <c r="N77" s="1423"/>
      <c r="O77" s="1424">
        <v>1</v>
      </c>
      <c r="P77" s="1416" t="s">
        <v>52</v>
      </c>
      <c r="Q77" s="1377" t="s">
        <v>18</v>
      </c>
      <c r="R77" s="1377" t="s">
        <v>18</v>
      </c>
      <c r="S77" s="1377" t="s">
        <v>18</v>
      </c>
      <c r="T77" s="1377" t="s">
        <v>18</v>
      </c>
      <c r="U77" s="1377" t="s">
        <v>18</v>
      </c>
      <c r="V77" s="1377" t="s">
        <v>18</v>
      </c>
      <c r="W77" s="1377" t="s">
        <v>18</v>
      </c>
      <c r="X77" s="1377" t="s">
        <v>18</v>
      </c>
      <c r="Y77" s="1377"/>
      <c r="Z77" s="664"/>
      <c r="AA77" s="665"/>
      <c r="AB77" s="665"/>
      <c r="AC77" s="669"/>
      <c r="AD77" s="669"/>
      <c r="AE77" s="670"/>
      <c r="AF77" s="1408"/>
      <c r="AG77" s="1403"/>
      <c r="AH77" s="1403"/>
      <c r="AI77" s="1408"/>
      <c r="AJ77" s="1403"/>
      <c r="AK77" s="1403"/>
      <c r="AL77" s="703"/>
      <c r="AM77" s="35"/>
      <c r="AN77" s="35"/>
      <c r="AO77" s="35"/>
      <c r="AP77" s="35"/>
      <c r="AQ77" s="35"/>
      <c r="AR77" s="35"/>
      <c r="AS77" s="35"/>
      <c r="AT77" s="35"/>
      <c r="AU77" s="35"/>
      <c r="AV77" s="35"/>
      <c r="AW77" s="35"/>
      <c r="AX77" s="35"/>
      <c r="AY77" s="35"/>
      <c r="AZ77" s="35"/>
      <c r="BA77" s="35"/>
      <c r="BB77" s="35"/>
      <c r="BC77" s="35"/>
      <c r="BD77" s="35"/>
      <c r="BE77" s="35"/>
      <c r="BF77" s="35"/>
    </row>
    <row r="78" spans="1:58" ht="11.25" customHeight="1">
      <c r="A78" s="301" t="s">
        <v>916</v>
      </c>
      <c r="E78" s="11"/>
      <c r="F78" s="1406"/>
      <c r="G78" s="1421"/>
      <c r="H78" s="1410" t="s">
        <v>87</v>
      </c>
      <c r="I78" s="1411"/>
      <c r="J78" s="1412"/>
      <c r="K78" s="1413"/>
      <c r="L78" s="1127"/>
      <c r="M78" s="1128"/>
      <c r="N78" s="1423"/>
      <c r="O78" s="1424"/>
      <c r="P78" s="1417"/>
      <c r="Q78" s="1377"/>
      <c r="R78" s="1377"/>
      <c r="S78" s="1409"/>
      <c r="T78" s="1377"/>
      <c r="U78" s="1377"/>
      <c r="V78" s="1377"/>
      <c r="W78" s="1377"/>
      <c r="X78" s="1377"/>
      <c r="Y78" s="1377"/>
      <c r="Z78" s="978"/>
      <c r="AA78" s="969">
        <v>1</v>
      </c>
      <c r="AB78" s="668" t="s">
        <v>951</v>
      </c>
      <c r="AC78" s="371">
        <v>12025.28</v>
      </c>
      <c r="AD78" s="668" t="str">
        <f>AB78</f>
        <v xml:space="preserve">      Прочие амортизационные отчисления</v>
      </c>
      <c r="AE78" s="371">
        <v>12285.19</v>
      </c>
      <c r="AF78" s="1408"/>
      <c r="AG78" s="1403"/>
      <c r="AH78" s="1403"/>
      <c r="AI78" s="1408"/>
      <c r="AJ78" s="1403"/>
      <c r="AK78" s="1403"/>
      <c r="AL78" s="703"/>
      <c r="AM78" s="35"/>
      <c r="AN78" s="35"/>
      <c r="AO78" s="35"/>
      <c r="AP78" s="35"/>
      <c r="AQ78" s="35"/>
      <c r="AR78" s="35"/>
      <c r="AS78" s="35"/>
      <c r="AT78" s="35"/>
      <c r="AU78" s="35"/>
      <c r="AV78" s="35"/>
      <c r="AW78" s="35"/>
      <c r="AX78" s="35"/>
      <c r="AY78" s="35"/>
      <c r="AZ78" s="35"/>
      <c r="BA78" s="35"/>
      <c r="BB78" s="35"/>
      <c r="BC78" s="35"/>
      <c r="BD78" s="35"/>
      <c r="BE78" s="35"/>
      <c r="BF78" s="35"/>
    </row>
    <row r="79" spans="1:58" ht="11.25" customHeight="1">
      <c r="A79" s="301" t="s">
        <v>916</v>
      </c>
      <c r="E79" s="11"/>
      <c r="F79" s="1406"/>
      <c r="G79" s="1421"/>
      <c r="H79" s="1410" t="s">
        <v>87</v>
      </c>
      <c r="I79" s="1411"/>
      <c r="J79" s="1412"/>
      <c r="K79" s="1413"/>
      <c r="L79" s="1127"/>
      <c r="M79" s="1128"/>
      <c r="N79" s="1423"/>
      <c r="O79" s="1424"/>
      <c r="P79" s="1418"/>
      <c r="Q79" s="1377"/>
      <c r="R79" s="1377"/>
      <c r="S79" s="1409"/>
      <c r="T79" s="1377"/>
      <c r="U79" s="1377"/>
      <c r="V79" s="1377"/>
      <c r="W79" s="1377"/>
      <c r="X79" s="1377"/>
      <c r="Y79" s="1377"/>
      <c r="Z79" s="664"/>
      <c r="AA79" s="665"/>
      <c r="AB79" s="108" t="s">
        <v>952</v>
      </c>
      <c r="AC79" s="669"/>
      <c r="AD79" s="669"/>
      <c r="AE79" s="671"/>
      <c r="AF79" s="1408"/>
      <c r="AG79" s="1403"/>
      <c r="AH79" s="1403"/>
      <c r="AI79" s="1408"/>
      <c r="AJ79" s="1403"/>
      <c r="AK79" s="1403"/>
      <c r="AL79" s="703"/>
      <c r="AM79" s="35"/>
      <c r="AN79" s="35"/>
      <c r="AO79" s="35"/>
      <c r="AP79" s="35"/>
      <c r="AQ79" s="35"/>
      <c r="AR79" s="35"/>
      <c r="AS79" s="35"/>
      <c r="AT79" s="35"/>
      <c r="AU79" s="35"/>
      <c r="AV79" s="35"/>
      <c r="AW79" s="35"/>
      <c r="AX79" s="35"/>
      <c r="AY79" s="35"/>
      <c r="AZ79" s="35"/>
      <c r="BA79" s="35"/>
      <c r="BB79" s="35"/>
      <c r="BC79" s="35"/>
      <c r="BD79" s="35"/>
      <c r="BE79" s="35"/>
      <c r="BF79" s="35"/>
    </row>
    <row r="80" spans="1:58" ht="11.25" customHeight="1">
      <c r="A80" s="301" t="s">
        <v>916</v>
      </c>
      <c r="E80" s="11"/>
      <c r="F80" s="1406"/>
      <c r="G80" s="1421"/>
      <c r="H80" s="1410" t="s">
        <v>87</v>
      </c>
      <c r="I80" s="1411"/>
      <c r="J80" s="1412"/>
      <c r="K80" s="1413"/>
      <c r="L80" s="1127"/>
      <c r="M80" s="1128"/>
      <c r="N80" s="664"/>
      <c r="O80" s="665"/>
      <c r="P80" s="108" t="s">
        <v>953</v>
      </c>
      <c r="Q80" s="665"/>
      <c r="R80" s="665"/>
      <c r="S80" s="665"/>
      <c r="T80" s="665"/>
      <c r="U80" s="665"/>
      <c r="V80" s="665"/>
      <c r="W80" s="665"/>
      <c r="X80" s="665"/>
      <c r="Y80" s="665"/>
      <c r="Z80" s="665"/>
      <c r="AA80" s="665"/>
      <c r="AB80" s="665"/>
      <c r="AC80" s="665"/>
      <c r="AD80" s="665"/>
      <c r="AE80" s="672"/>
      <c r="AF80" s="1408"/>
      <c r="AG80" s="1403"/>
      <c r="AH80" s="1403"/>
      <c r="AI80" s="1408"/>
      <c r="AJ80" s="1403"/>
      <c r="AK80" s="1403"/>
      <c r="AL80" s="703"/>
      <c r="AM80" s="35"/>
      <c r="AN80" s="35"/>
      <c r="AO80" s="35"/>
      <c r="AP80" s="35"/>
      <c r="AQ80" s="35"/>
      <c r="AR80" s="35"/>
      <c r="AS80" s="35"/>
      <c r="AT80" s="35"/>
      <c r="AU80" s="35"/>
      <c r="AV80" s="35"/>
      <c r="AW80" s="35"/>
      <c r="AX80" s="35"/>
      <c r="AY80" s="35"/>
      <c r="AZ80" s="35"/>
      <c r="BA80" s="35"/>
      <c r="BB80" s="35"/>
      <c r="BC80" s="35"/>
      <c r="BD80" s="35"/>
      <c r="BE80" s="35"/>
      <c r="BF80" s="35"/>
    </row>
    <row r="81" spans="1:58" ht="11.25" customHeight="1">
      <c r="A81" s="301" t="s">
        <v>916</v>
      </c>
      <c r="E81" s="11"/>
      <c r="F81" s="1406"/>
      <c r="G81" s="1395" t="s">
        <v>117</v>
      </c>
      <c r="H81" s="1410" t="s">
        <v>88</v>
      </c>
      <c r="I81" s="1411"/>
      <c r="J81" s="1412"/>
      <c r="K81" s="1413" t="s">
        <v>964</v>
      </c>
      <c r="L81" s="1127" t="s">
        <v>52</v>
      </c>
      <c r="M81" s="1128"/>
      <c r="N81" s="1046"/>
      <c r="O81" s="666" t="s">
        <v>375</v>
      </c>
      <c r="P81" s="667"/>
      <c r="Q81" s="667"/>
      <c r="R81" s="667"/>
      <c r="S81" s="667"/>
      <c r="T81" s="667"/>
      <c r="U81" s="667"/>
      <c r="V81" s="667"/>
      <c r="W81" s="667"/>
      <c r="X81" s="667"/>
      <c r="Y81" s="667"/>
      <c r="Z81" s="667"/>
      <c r="AA81" s="667"/>
      <c r="AB81" s="667"/>
      <c r="AC81" s="667"/>
      <c r="AD81" s="667"/>
      <c r="AE81" s="667"/>
      <c r="AF81" s="1408">
        <v>2025</v>
      </c>
      <c r="AG81" s="1403" t="s">
        <v>949</v>
      </c>
      <c r="AH81" s="1403" t="s">
        <v>950</v>
      </c>
      <c r="AI81" s="1408">
        <v>2025</v>
      </c>
      <c r="AJ81" s="1403" t="s">
        <v>949</v>
      </c>
      <c r="AK81" s="1403" t="s">
        <v>950</v>
      </c>
      <c r="AL81" s="703"/>
      <c r="AM81" s="35"/>
      <c r="AN81" s="35"/>
      <c r="AO81" s="35"/>
      <c r="AP81" s="35"/>
      <c r="AQ81" s="35"/>
      <c r="AR81" s="35"/>
      <c r="AS81" s="35"/>
      <c r="AT81" s="35"/>
      <c r="AU81" s="35"/>
      <c r="AV81" s="35"/>
      <c r="AW81" s="35"/>
      <c r="AX81" s="35"/>
      <c r="AY81" s="35"/>
      <c r="AZ81" s="35"/>
      <c r="BA81" s="35"/>
      <c r="BB81" s="35"/>
      <c r="BC81" s="35"/>
      <c r="BD81" s="35"/>
      <c r="BE81" s="35"/>
      <c r="BF81" s="35"/>
    </row>
    <row r="82" spans="1:58" ht="11.25" customHeight="1">
      <c r="A82" s="301" t="s">
        <v>916</v>
      </c>
      <c r="E82" s="11"/>
      <c r="F82" s="1406"/>
      <c r="G82" s="1421"/>
      <c r="H82" s="1410" t="s">
        <v>107</v>
      </c>
      <c r="I82" s="1411"/>
      <c r="J82" s="1412"/>
      <c r="K82" s="1413"/>
      <c r="L82" s="1127"/>
      <c r="M82" s="1128"/>
      <c r="N82" s="1423"/>
      <c r="O82" s="1424">
        <v>1</v>
      </c>
      <c r="P82" s="1416" t="s">
        <v>52</v>
      </c>
      <c r="Q82" s="1377" t="s">
        <v>18</v>
      </c>
      <c r="R82" s="1377" t="s">
        <v>18</v>
      </c>
      <c r="S82" s="1377" t="s">
        <v>18</v>
      </c>
      <c r="T82" s="1377" t="s">
        <v>18</v>
      </c>
      <c r="U82" s="1377" t="s">
        <v>18</v>
      </c>
      <c r="V82" s="1377" t="s">
        <v>18</v>
      </c>
      <c r="W82" s="1377" t="s">
        <v>18</v>
      </c>
      <c r="X82" s="1377" t="s">
        <v>18</v>
      </c>
      <c r="Y82" s="1377"/>
      <c r="Z82" s="664"/>
      <c r="AA82" s="665"/>
      <c r="AB82" s="665"/>
      <c r="AC82" s="669"/>
      <c r="AD82" s="669"/>
      <c r="AE82" s="670"/>
      <c r="AF82" s="1408"/>
      <c r="AG82" s="1403"/>
      <c r="AH82" s="1403"/>
      <c r="AI82" s="1408"/>
      <c r="AJ82" s="1403"/>
      <c r="AK82" s="1403"/>
      <c r="AL82" s="703"/>
      <c r="AM82" s="35"/>
      <c r="AN82" s="35"/>
      <c r="AO82" s="35"/>
      <c r="AP82" s="35"/>
      <c r="AQ82" s="35"/>
      <c r="AR82" s="35"/>
      <c r="AS82" s="35"/>
      <c r="AT82" s="35"/>
      <c r="AU82" s="35"/>
      <c r="AV82" s="35"/>
      <c r="AW82" s="35"/>
      <c r="AX82" s="35"/>
      <c r="AY82" s="35"/>
      <c r="AZ82" s="35"/>
      <c r="BA82" s="35"/>
      <c r="BB82" s="35"/>
      <c r="BC82" s="35"/>
      <c r="BD82" s="35"/>
      <c r="BE82" s="35"/>
      <c r="BF82" s="35"/>
    </row>
    <row r="83" spans="1:58" ht="11.25" customHeight="1">
      <c r="A83" s="301" t="s">
        <v>916</v>
      </c>
      <c r="E83" s="11"/>
      <c r="F83" s="1406"/>
      <c r="G83" s="1421"/>
      <c r="H83" s="1410" t="s">
        <v>107</v>
      </c>
      <c r="I83" s="1411"/>
      <c r="J83" s="1412"/>
      <c r="K83" s="1413"/>
      <c r="L83" s="1127"/>
      <c r="M83" s="1128"/>
      <c r="N83" s="1423"/>
      <c r="O83" s="1424"/>
      <c r="P83" s="1417"/>
      <c r="Q83" s="1377"/>
      <c r="R83" s="1377"/>
      <c r="S83" s="1409"/>
      <c r="T83" s="1377"/>
      <c r="U83" s="1377"/>
      <c r="V83" s="1377"/>
      <c r="W83" s="1377"/>
      <c r="X83" s="1377"/>
      <c r="Y83" s="1377"/>
      <c r="Z83" s="978"/>
      <c r="AA83" s="969">
        <v>1</v>
      </c>
      <c r="AB83" s="668" t="s">
        <v>951</v>
      </c>
      <c r="AC83" s="371">
        <v>16500</v>
      </c>
      <c r="AD83" s="668" t="str">
        <f>AB83</f>
        <v xml:space="preserve">      Прочие амортизационные отчисления</v>
      </c>
      <c r="AE83" s="371">
        <v>16927.52</v>
      </c>
      <c r="AF83" s="1408"/>
      <c r="AG83" s="1403"/>
      <c r="AH83" s="1403"/>
      <c r="AI83" s="1408"/>
      <c r="AJ83" s="1403"/>
      <c r="AK83" s="1403"/>
      <c r="AL83" s="703"/>
      <c r="AM83" s="35"/>
      <c r="AN83" s="35"/>
      <c r="AO83" s="35"/>
      <c r="AP83" s="35"/>
      <c r="AQ83" s="35"/>
      <c r="AR83" s="35"/>
      <c r="AS83" s="35"/>
      <c r="AT83" s="35"/>
      <c r="AU83" s="35"/>
      <c r="AV83" s="35"/>
      <c r="AW83" s="35"/>
      <c r="AX83" s="35"/>
      <c r="AY83" s="35"/>
      <c r="AZ83" s="35"/>
      <c r="BA83" s="35"/>
      <c r="BB83" s="35"/>
      <c r="BC83" s="35"/>
      <c r="BD83" s="35"/>
      <c r="BE83" s="35"/>
      <c r="BF83" s="35"/>
    </row>
    <row r="84" spans="1:58" ht="11.25" customHeight="1">
      <c r="A84" s="301" t="s">
        <v>916</v>
      </c>
      <c r="E84" s="11"/>
      <c r="F84" s="1406"/>
      <c r="G84" s="1421"/>
      <c r="H84" s="1410" t="s">
        <v>107</v>
      </c>
      <c r="I84" s="1411"/>
      <c r="J84" s="1412"/>
      <c r="K84" s="1413"/>
      <c r="L84" s="1127"/>
      <c r="M84" s="1128"/>
      <c r="N84" s="1423"/>
      <c r="O84" s="1424"/>
      <c r="P84" s="1418"/>
      <c r="Q84" s="1377"/>
      <c r="R84" s="1377"/>
      <c r="S84" s="1409"/>
      <c r="T84" s="1377"/>
      <c r="U84" s="1377"/>
      <c r="V84" s="1377"/>
      <c r="W84" s="1377"/>
      <c r="X84" s="1377"/>
      <c r="Y84" s="1377"/>
      <c r="Z84" s="664"/>
      <c r="AA84" s="665"/>
      <c r="AB84" s="108" t="s">
        <v>952</v>
      </c>
      <c r="AC84" s="669"/>
      <c r="AD84" s="669"/>
      <c r="AE84" s="671"/>
      <c r="AF84" s="1408"/>
      <c r="AG84" s="1403"/>
      <c r="AH84" s="1403"/>
      <c r="AI84" s="1408"/>
      <c r="AJ84" s="1403"/>
      <c r="AK84" s="1403"/>
      <c r="AL84" s="703"/>
      <c r="AM84" s="35"/>
      <c r="AN84" s="35"/>
      <c r="AO84" s="35"/>
      <c r="AP84" s="35"/>
      <c r="AQ84" s="35"/>
      <c r="AR84" s="35"/>
      <c r="AS84" s="35"/>
      <c r="AT84" s="35"/>
      <c r="AU84" s="35"/>
      <c r="AV84" s="35"/>
      <c r="AW84" s="35"/>
      <c r="AX84" s="35"/>
      <c r="AY84" s="35"/>
      <c r="AZ84" s="35"/>
      <c r="BA84" s="35"/>
      <c r="BB84" s="35"/>
      <c r="BC84" s="35"/>
      <c r="BD84" s="35"/>
      <c r="BE84" s="35"/>
      <c r="BF84" s="35"/>
    </row>
    <row r="85" spans="1:58" ht="11.25" customHeight="1">
      <c r="A85" s="301" t="s">
        <v>916</v>
      </c>
      <c r="E85" s="11"/>
      <c r="F85" s="1406"/>
      <c r="G85" s="1421"/>
      <c r="H85" s="1410" t="s">
        <v>107</v>
      </c>
      <c r="I85" s="1411"/>
      <c r="J85" s="1412"/>
      <c r="K85" s="1413"/>
      <c r="L85" s="1127"/>
      <c r="M85" s="1128"/>
      <c r="N85" s="664"/>
      <c r="O85" s="665"/>
      <c r="P85" s="108" t="s">
        <v>953</v>
      </c>
      <c r="Q85" s="665"/>
      <c r="R85" s="665"/>
      <c r="S85" s="665"/>
      <c r="T85" s="665"/>
      <c r="U85" s="665"/>
      <c r="V85" s="665"/>
      <c r="W85" s="665"/>
      <c r="X85" s="665"/>
      <c r="Y85" s="665"/>
      <c r="Z85" s="665"/>
      <c r="AA85" s="665"/>
      <c r="AB85" s="665"/>
      <c r="AC85" s="665"/>
      <c r="AD85" s="665"/>
      <c r="AE85" s="672"/>
      <c r="AF85" s="1408"/>
      <c r="AG85" s="1403"/>
      <c r="AH85" s="1403"/>
      <c r="AI85" s="1408"/>
      <c r="AJ85" s="1403"/>
      <c r="AK85" s="1403"/>
      <c r="AL85" s="703"/>
      <c r="AM85" s="35"/>
      <c r="AN85" s="35"/>
      <c r="AO85" s="35"/>
      <c r="AP85" s="35"/>
      <c r="AQ85" s="35"/>
      <c r="AR85" s="35"/>
      <c r="AS85" s="35"/>
      <c r="AT85" s="35"/>
      <c r="AU85" s="35"/>
      <c r="AV85" s="35"/>
      <c r="AW85" s="35"/>
      <c r="AX85" s="35"/>
      <c r="AY85" s="35"/>
      <c r="AZ85" s="35"/>
      <c r="BA85" s="35"/>
      <c r="BB85" s="35"/>
      <c r="BC85" s="35"/>
      <c r="BD85" s="35"/>
      <c r="BE85" s="35"/>
      <c r="BF85" s="35"/>
    </row>
    <row r="86" spans="1:58" ht="12" customHeight="1">
      <c r="A86" s="301" t="s">
        <v>916</v>
      </c>
      <c r="E86" s="11"/>
      <c r="F86" s="1407"/>
      <c r="G86" s="677"/>
      <c r="H86" s="677"/>
      <c r="I86" s="1404" t="s">
        <v>961</v>
      </c>
      <c r="J86" s="1404"/>
      <c r="K86" s="1404"/>
      <c r="L86" s="662"/>
      <c r="M86" s="662"/>
      <c r="N86" s="663"/>
      <c r="O86" s="663"/>
      <c r="P86" s="663"/>
      <c r="Q86" s="663"/>
      <c r="R86" s="663"/>
      <c r="S86" s="663"/>
      <c r="T86" s="663"/>
      <c r="U86" s="663"/>
      <c r="V86" s="663"/>
      <c r="W86" s="663"/>
      <c r="X86" s="663"/>
      <c r="Y86" s="663"/>
      <c r="Z86" s="663"/>
      <c r="AA86" s="663"/>
      <c r="AB86" s="663"/>
      <c r="AC86" s="663"/>
      <c r="AD86" s="663"/>
      <c r="AE86" s="663"/>
      <c r="AF86" s="663"/>
      <c r="AG86" s="662"/>
      <c r="AH86" s="662"/>
      <c r="AI86" s="663"/>
      <c r="AJ86" s="662"/>
      <c r="AK86" s="663"/>
      <c r="AL86" s="703"/>
      <c r="AM86" s="35"/>
      <c r="AN86" s="35"/>
      <c r="AO86" s="35"/>
      <c r="AP86" s="35"/>
      <c r="AQ86" s="35"/>
      <c r="AR86" s="35"/>
      <c r="AS86" s="35"/>
      <c r="AT86" s="35"/>
      <c r="AU86" s="35"/>
      <c r="AV86" s="35"/>
      <c r="AW86" s="35"/>
      <c r="AX86" s="35"/>
      <c r="AY86" s="35"/>
      <c r="AZ86" s="35"/>
      <c r="BA86" s="35"/>
      <c r="BB86" s="35"/>
      <c r="BC86" s="35"/>
      <c r="BD86" s="35"/>
      <c r="BE86" s="35"/>
      <c r="BF86" s="35"/>
    </row>
    <row r="87" spans="1:58" ht="11.25" customHeight="1">
      <c r="A87" s="301" t="s">
        <v>916</v>
      </c>
      <c r="E87" s="11"/>
      <c r="F87" s="1405">
        <v>2024</v>
      </c>
      <c r="G87" s="1410"/>
      <c r="H87" s="1410" t="s">
        <v>105</v>
      </c>
      <c r="I87" s="1411"/>
      <c r="J87" s="1412"/>
      <c r="K87" s="1413" t="s">
        <v>955</v>
      </c>
      <c r="L87" s="1403" t="s">
        <v>52</v>
      </c>
      <c r="M87" s="1128"/>
      <c r="N87" s="667"/>
      <c r="O87" s="666" t="s">
        <v>375</v>
      </c>
      <c r="P87" s="667"/>
      <c r="Q87" s="667"/>
      <c r="R87" s="667"/>
      <c r="S87" s="667"/>
      <c r="T87" s="667"/>
      <c r="U87" s="667"/>
      <c r="V87" s="667"/>
      <c r="W87" s="667"/>
      <c r="X87" s="667"/>
      <c r="Y87" s="667"/>
      <c r="Z87" s="667"/>
      <c r="AA87" s="667"/>
      <c r="AB87" s="667"/>
      <c r="AC87" s="667"/>
      <c r="AD87" s="667"/>
      <c r="AE87" s="667"/>
      <c r="AF87" s="1408">
        <v>2026</v>
      </c>
      <c r="AG87" s="1403" t="s">
        <v>949</v>
      </c>
      <c r="AH87" s="1403" t="s">
        <v>965</v>
      </c>
      <c r="AI87" s="1408">
        <v>2026</v>
      </c>
      <c r="AJ87" s="1403" t="s">
        <v>949</v>
      </c>
      <c r="AK87" s="1403" t="s">
        <v>965</v>
      </c>
      <c r="AL87" s="703"/>
      <c r="AM87" s="35"/>
      <c r="AN87" s="35"/>
      <c r="AO87" s="35"/>
      <c r="AP87" s="35"/>
      <c r="AQ87" s="35"/>
      <c r="AR87" s="35"/>
      <c r="AS87" s="35"/>
      <c r="AT87" s="35"/>
      <c r="AU87" s="35"/>
      <c r="AV87" s="35"/>
      <c r="AW87" s="35"/>
      <c r="AX87" s="35"/>
      <c r="AY87" s="35"/>
      <c r="AZ87" s="35"/>
      <c r="BA87" s="35"/>
      <c r="BB87" s="35"/>
      <c r="BC87" s="35"/>
      <c r="BD87" s="35"/>
      <c r="BE87" s="35"/>
      <c r="BF87" s="35"/>
    </row>
    <row r="88" spans="1:58" ht="11.25" customHeight="1">
      <c r="A88" s="301" t="s">
        <v>916</v>
      </c>
      <c r="E88" s="11"/>
      <c r="F88" s="1405"/>
      <c r="G88" s="1410"/>
      <c r="H88" s="1410"/>
      <c r="I88" s="1411"/>
      <c r="J88" s="1412"/>
      <c r="K88" s="1413"/>
      <c r="L88" s="1403"/>
      <c r="M88" s="1128"/>
      <c r="N88" s="1414"/>
      <c r="O88" s="1415">
        <v>1</v>
      </c>
      <c r="P88" s="1416" t="s">
        <v>52</v>
      </c>
      <c r="Q88" s="1377" t="s">
        <v>18</v>
      </c>
      <c r="R88" s="1377" t="s">
        <v>18</v>
      </c>
      <c r="S88" s="1377" t="s">
        <v>18</v>
      </c>
      <c r="T88" s="1377" t="s">
        <v>18</v>
      </c>
      <c r="U88" s="1377" t="s">
        <v>18</v>
      </c>
      <c r="V88" s="1377" t="s">
        <v>18</v>
      </c>
      <c r="W88" s="1377" t="s">
        <v>18</v>
      </c>
      <c r="X88" s="1377" t="s">
        <v>18</v>
      </c>
      <c r="Y88" s="1377"/>
      <c r="Z88" s="664"/>
      <c r="AA88" s="665"/>
      <c r="AB88" s="665"/>
      <c r="AC88" s="669"/>
      <c r="AD88" s="669"/>
      <c r="AE88" s="670"/>
      <c r="AF88" s="1408"/>
      <c r="AG88" s="1403"/>
      <c r="AH88" s="1403"/>
      <c r="AI88" s="1408"/>
      <c r="AJ88" s="1403"/>
      <c r="AK88" s="1403"/>
      <c r="AL88" s="703"/>
      <c r="AM88" s="35"/>
      <c r="AN88" s="35"/>
      <c r="AO88" s="35"/>
      <c r="AP88" s="35"/>
      <c r="AQ88" s="35"/>
      <c r="AR88" s="35"/>
      <c r="AS88" s="35"/>
      <c r="AT88" s="35"/>
      <c r="AU88" s="35"/>
      <c r="AV88" s="35"/>
      <c r="AW88" s="35"/>
      <c r="AX88" s="35"/>
      <c r="AY88" s="35"/>
      <c r="AZ88" s="35"/>
      <c r="BA88" s="35"/>
      <c r="BB88" s="35"/>
      <c r="BC88" s="35"/>
      <c r="BD88" s="35"/>
      <c r="BE88" s="35"/>
      <c r="BF88" s="35"/>
    </row>
    <row r="89" spans="1:58" ht="11.25" customHeight="1">
      <c r="A89" s="301" t="s">
        <v>916</v>
      </c>
      <c r="E89" s="11"/>
      <c r="F89" s="1405"/>
      <c r="G89" s="1410"/>
      <c r="H89" s="1410"/>
      <c r="I89" s="1411"/>
      <c r="J89" s="1412"/>
      <c r="K89" s="1413"/>
      <c r="L89" s="1403"/>
      <c r="M89" s="1128"/>
      <c r="N89" s="1414"/>
      <c r="O89" s="1415"/>
      <c r="P89" s="1417"/>
      <c r="Q89" s="1377"/>
      <c r="R89" s="1377"/>
      <c r="S89" s="1409"/>
      <c r="T89" s="1377"/>
      <c r="U89" s="1377"/>
      <c r="V89" s="1377"/>
      <c r="W89" s="1377"/>
      <c r="X89" s="1377"/>
      <c r="Y89" s="1377"/>
      <c r="Z89" s="978"/>
      <c r="AA89" s="969">
        <v>1</v>
      </c>
      <c r="AB89" s="668" t="s">
        <v>966</v>
      </c>
      <c r="AC89" s="371">
        <v>41986.38</v>
      </c>
      <c r="AD89" s="668" t="str">
        <f>AB89</f>
        <v xml:space="preserve">  Прибыль направляемая на инвестиции</v>
      </c>
      <c r="AE89" s="371">
        <v>0</v>
      </c>
      <c r="AF89" s="1408"/>
      <c r="AG89" s="1403"/>
      <c r="AH89" s="1403"/>
      <c r="AI89" s="1408"/>
      <c r="AJ89" s="1403"/>
      <c r="AK89" s="1403"/>
      <c r="AL89" s="703"/>
      <c r="AM89" s="35"/>
      <c r="AN89" s="35"/>
      <c r="AO89" s="35"/>
      <c r="AP89" s="35"/>
      <c r="AQ89" s="35"/>
      <c r="AR89" s="35"/>
      <c r="AS89" s="35"/>
      <c r="AT89" s="35"/>
      <c r="AU89" s="35"/>
      <c r="AV89" s="35"/>
      <c r="AW89" s="35"/>
      <c r="AX89" s="35"/>
      <c r="AY89" s="35"/>
      <c r="AZ89" s="35"/>
      <c r="BA89" s="35"/>
      <c r="BB89" s="35"/>
      <c r="BC89" s="35"/>
      <c r="BD89" s="35"/>
      <c r="BE89" s="35"/>
      <c r="BF89" s="35"/>
    </row>
    <row r="90" spans="1:58" ht="11.25" customHeight="1">
      <c r="A90" s="301" t="s">
        <v>916</v>
      </c>
      <c r="E90" s="11"/>
      <c r="F90" s="1421"/>
      <c r="G90" s="1421"/>
      <c r="H90" s="1421"/>
      <c r="I90" s="1421"/>
      <c r="J90" s="1421"/>
      <c r="K90" s="1421"/>
      <c r="L90" s="1421"/>
      <c r="M90" s="1421"/>
      <c r="N90" s="1421"/>
      <c r="O90" s="1421"/>
      <c r="P90" s="1421"/>
      <c r="Q90" s="1421"/>
      <c r="R90" s="1421"/>
      <c r="S90" s="1421"/>
      <c r="T90" s="1421"/>
      <c r="U90" s="1421"/>
      <c r="V90" s="1421"/>
      <c r="W90" s="1421"/>
      <c r="X90" s="1421"/>
      <c r="Y90" s="1421"/>
      <c r="Z90" s="86" t="s">
        <v>117</v>
      </c>
      <c r="AA90" s="973" t="s">
        <v>106</v>
      </c>
      <c r="AB90" s="668" t="s">
        <v>967</v>
      </c>
      <c r="AC90" s="371">
        <v>9518.5499999999993</v>
      </c>
      <c r="AD90" s="668" t="str">
        <f>AB90</f>
        <v xml:space="preserve">  Прочие собственные средства</v>
      </c>
      <c r="AE90" s="371">
        <v>0</v>
      </c>
      <c r="AF90" s="1422"/>
      <c r="AG90" s="1419"/>
      <c r="AH90" s="1419"/>
      <c r="AI90" s="1422"/>
      <c r="AJ90" s="1419"/>
      <c r="AK90" s="1420"/>
      <c r="AL90" s="703"/>
      <c r="AM90" s="35"/>
      <c r="AN90" s="35"/>
      <c r="AO90" s="35"/>
      <c r="AP90" s="35"/>
      <c r="AQ90" s="35"/>
      <c r="AR90" s="35"/>
      <c r="AS90" s="35"/>
      <c r="AT90" s="35"/>
      <c r="AU90" s="35"/>
      <c r="AV90" s="35"/>
      <c r="AW90" s="35"/>
      <c r="AX90" s="35"/>
      <c r="AY90" s="35"/>
      <c r="AZ90" s="35"/>
      <c r="BA90" s="35"/>
      <c r="BB90" s="35"/>
      <c r="BC90" s="35"/>
      <c r="BD90" s="35"/>
      <c r="BE90" s="35"/>
      <c r="BF90" s="35"/>
    </row>
    <row r="91" spans="1:58" ht="11.25" customHeight="1">
      <c r="A91" s="301" t="s">
        <v>916</v>
      </c>
      <c r="E91" s="11"/>
      <c r="F91" s="1405"/>
      <c r="G91" s="1410"/>
      <c r="H91" s="1410"/>
      <c r="I91" s="1411"/>
      <c r="J91" s="1412"/>
      <c r="K91" s="1413"/>
      <c r="L91" s="1403"/>
      <c r="M91" s="1128"/>
      <c r="N91" s="1414"/>
      <c r="O91" s="1415"/>
      <c r="P91" s="1418"/>
      <c r="Q91" s="1377"/>
      <c r="R91" s="1377"/>
      <c r="S91" s="1409"/>
      <c r="T91" s="1377"/>
      <c r="U91" s="1377"/>
      <c r="V91" s="1377"/>
      <c r="W91" s="1377"/>
      <c r="X91" s="1377"/>
      <c r="Y91" s="1377"/>
      <c r="Z91" s="664"/>
      <c r="AA91" s="665"/>
      <c r="AB91" s="108" t="s">
        <v>952</v>
      </c>
      <c r="AC91" s="669"/>
      <c r="AD91" s="669"/>
      <c r="AE91" s="671"/>
      <c r="AF91" s="1408"/>
      <c r="AG91" s="1403"/>
      <c r="AH91" s="1403"/>
      <c r="AI91" s="1408"/>
      <c r="AJ91" s="1403"/>
      <c r="AK91" s="1403"/>
      <c r="AL91" s="703"/>
      <c r="AM91" s="35"/>
      <c r="AN91" s="35"/>
      <c r="AO91" s="35"/>
      <c r="AP91" s="35"/>
      <c r="AQ91" s="35"/>
      <c r="AR91" s="35"/>
      <c r="AS91" s="35"/>
      <c r="AT91" s="35"/>
      <c r="AU91" s="35"/>
      <c r="AV91" s="35"/>
      <c r="AW91" s="35"/>
      <c r="AX91" s="35"/>
      <c r="AY91" s="35"/>
      <c r="AZ91" s="35"/>
      <c r="BA91" s="35"/>
      <c r="BB91" s="35"/>
      <c r="BC91" s="35"/>
      <c r="BD91" s="35"/>
      <c r="BE91" s="35"/>
      <c r="BF91" s="35"/>
    </row>
    <row r="92" spans="1:58" ht="11.25" customHeight="1">
      <c r="A92" s="301" t="s">
        <v>916</v>
      </c>
      <c r="E92" s="11"/>
      <c r="F92" s="1405"/>
      <c r="G92" s="1410"/>
      <c r="H92" s="1410"/>
      <c r="I92" s="1411"/>
      <c r="J92" s="1412"/>
      <c r="K92" s="1413"/>
      <c r="L92" s="1403"/>
      <c r="M92" s="1128"/>
      <c r="N92" s="665"/>
      <c r="O92" s="665"/>
      <c r="P92" s="108" t="s">
        <v>953</v>
      </c>
      <c r="Q92" s="665"/>
      <c r="R92" s="665"/>
      <c r="S92" s="665"/>
      <c r="T92" s="665"/>
      <c r="U92" s="665"/>
      <c r="V92" s="665"/>
      <c r="W92" s="665"/>
      <c r="X92" s="665"/>
      <c r="Y92" s="665"/>
      <c r="Z92" s="665"/>
      <c r="AA92" s="665"/>
      <c r="AB92" s="665"/>
      <c r="AC92" s="665"/>
      <c r="AD92" s="665"/>
      <c r="AE92" s="672"/>
      <c r="AF92" s="1408"/>
      <c r="AG92" s="1403"/>
      <c r="AH92" s="1403"/>
      <c r="AI92" s="1408"/>
      <c r="AJ92" s="1403"/>
      <c r="AK92" s="1403"/>
      <c r="AL92" s="703"/>
      <c r="AM92" s="35"/>
      <c r="AN92" s="35"/>
      <c r="AO92" s="35"/>
      <c r="AP92" s="35"/>
      <c r="AQ92" s="35"/>
      <c r="AR92" s="35"/>
      <c r="AS92" s="35"/>
      <c r="AT92" s="35"/>
      <c r="AU92" s="35"/>
      <c r="AV92" s="35"/>
      <c r="AW92" s="35"/>
      <c r="AX92" s="35"/>
      <c r="AY92" s="35"/>
      <c r="AZ92" s="35"/>
      <c r="BA92" s="35"/>
      <c r="BB92" s="35"/>
      <c r="BC92" s="35"/>
      <c r="BD92" s="35"/>
      <c r="BE92" s="35"/>
      <c r="BF92" s="35"/>
    </row>
    <row r="93" spans="1:58" ht="11.25" customHeight="1">
      <c r="A93" s="301" t="s">
        <v>916</v>
      </c>
      <c r="E93" s="11"/>
      <c r="F93" s="1406"/>
      <c r="G93" s="1395" t="s">
        <v>117</v>
      </c>
      <c r="H93" s="1410" t="s">
        <v>106</v>
      </c>
      <c r="I93" s="1411"/>
      <c r="J93" s="1412"/>
      <c r="K93" s="1413" t="s">
        <v>968</v>
      </c>
      <c r="L93" s="1127" t="s">
        <v>52</v>
      </c>
      <c r="M93" s="1128"/>
      <c r="N93" s="1046"/>
      <c r="O93" s="666" t="s">
        <v>375</v>
      </c>
      <c r="P93" s="667"/>
      <c r="Q93" s="667"/>
      <c r="R93" s="667"/>
      <c r="S93" s="667"/>
      <c r="T93" s="667"/>
      <c r="U93" s="667"/>
      <c r="V93" s="667"/>
      <c r="W93" s="667"/>
      <c r="X93" s="667"/>
      <c r="Y93" s="667"/>
      <c r="Z93" s="667"/>
      <c r="AA93" s="667"/>
      <c r="AB93" s="667"/>
      <c r="AC93" s="667"/>
      <c r="AD93" s="667"/>
      <c r="AE93" s="667"/>
      <c r="AF93" s="1408">
        <v>2024</v>
      </c>
      <c r="AG93" s="1403" t="s">
        <v>949</v>
      </c>
      <c r="AH93" s="1403" t="s">
        <v>965</v>
      </c>
      <c r="AI93" s="1408">
        <v>2024</v>
      </c>
      <c r="AJ93" s="1403" t="s">
        <v>949</v>
      </c>
      <c r="AK93" s="1403" t="s">
        <v>965</v>
      </c>
      <c r="AL93" s="703"/>
      <c r="AM93" s="35"/>
      <c r="AN93" s="35"/>
      <c r="AO93" s="35"/>
      <c r="AP93" s="35"/>
      <c r="AQ93" s="35"/>
      <c r="AR93" s="35"/>
      <c r="AS93" s="35"/>
      <c r="AT93" s="35"/>
      <c r="AU93" s="35"/>
      <c r="AV93" s="35"/>
      <c r="AW93" s="35"/>
      <c r="AX93" s="35"/>
      <c r="AY93" s="35"/>
      <c r="AZ93" s="35"/>
      <c r="BA93" s="35"/>
      <c r="BB93" s="35"/>
      <c r="BC93" s="35"/>
      <c r="BD93" s="35"/>
      <c r="BE93" s="35"/>
      <c r="BF93" s="35"/>
    </row>
    <row r="94" spans="1:58" ht="11.25" customHeight="1">
      <c r="A94" s="301" t="s">
        <v>916</v>
      </c>
      <c r="E94" s="11"/>
      <c r="F94" s="1406"/>
      <c r="G94" s="1421"/>
      <c r="H94" s="1410" t="s">
        <v>105</v>
      </c>
      <c r="I94" s="1411"/>
      <c r="J94" s="1412"/>
      <c r="K94" s="1413"/>
      <c r="L94" s="1127"/>
      <c r="M94" s="1128"/>
      <c r="N94" s="1423"/>
      <c r="O94" s="1424">
        <v>1</v>
      </c>
      <c r="P94" s="1416" t="s">
        <v>52</v>
      </c>
      <c r="Q94" s="1377" t="s">
        <v>18</v>
      </c>
      <c r="R94" s="1377" t="s">
        <v>18</v>
      </c>
      <c r="S94" s="1377" t="s">
        <v>18</v>
      </c>
      <c r="T94" s="1377" t="s">
        <v>18</v>
      </c>
      <c r="U94" s="1377" t="s">
        <v>18</v>
      </c>
      <c r="V94" s="1377" t="s">
        <v>18</v>
      </c>
      <c r="W94" s="1377" t="s">
        <v>18</v>
      </c>
      <c r="X94" s="1377" t="s">
        <v>18</v>
      </c>
      <c r="Y94" s="1377"/>
      <c r="Z94" s="664"/>
      <c r="AA94" s="665"/>
      <c r="AB94" s="665"/>
      <c r="AC94" s="669"/>
      <c r="AD94" s="669"/>
      <c r="AE94" s="670"/>
      <c r="AF94" s="1408"/>
      <c r="AG94" s="1403"/>
      <c r="AH94" s="1403"/>
      <c r="AI94" s="1408"/>
      <c r="AJ94" s="1403"/>
      <c r="AK94" s="1403"/>
      <c r="AL94" s="703"/>
      <c r="AM94" s="35"/>
      <c r="AN94" s="35"/>
      <c r="AO94" s="35"/>
      <c r="AP94" s="35"/>
      <c r="AQ94" s="35"/>
      <c r="AR94" s="35"/>
      <c r="AS94" s="35"/>
      <c r="AT94" s="35"/>
      <c r="AU94" s="35"/>
      <c r="AV94" s="35"/>
      <c r="AW94" s="35"/>
      <c r="AX94" s="35"/>
      <c r="AY94" s="35"/>
      <c r="AZ94" s="35"/>
      <c r="BA94" s="35"/>
      <c r="BB94" s="35"/>
      <c r="BC94" s="35"/>
      <c r="BD94" s="35"/>
      <c r="BE94" s="35"/>
      <c r="BF94" s="35"/>
    </row>
    <row r="95" spans="1:58" ht="11.25" customHeight="1">
      <c r="A95" s="301" t="s">
        <v>916</v>
      </c>
      <c r="E95" s="11"/>
      <c r="F95" s="1406"/>
      <c r="G95" s="1421"/>
      <c r="H95" s="1410" t="s">
        <v>105</v>
      </c>
      <c r="I95" s="1411"/>
      <c r="J95" s="1412"/>
      <c r="K95" s="1413"/>
      <c r="L95" s="1127"/>
      <c r="M95" s="1128"/>
      <c r="N95" s="1423"/>
      <c r="O95" s="1424"/>
      <c r="P95" s="1417"/>
      <c r="Q95" s="1377"/>
      <c r="R95" s="1377"/>
      <c r="S95" s="1409"/>
      <c r="T95" s="1377"/>
      <c r="U95" s="1377"/>
      <c r="V95" s="1377"/>
      <c r="W95" s="1377"/>
      <c r="X95" s="1377"/>
      <c r="Y95" s="1377"/>
      <c r="Z95" s="978"/>
      <c r="AA95" s="969">
        <v>1</v>
      </c>
      <c r="AB95" s="668" t="s">
        <v>951</v>
      </c>
      <c r="AC95" s="371">
        <v>4744.4399999999996</v>
      </c>
      <c r="AD95" s="668" t="str">
        <f>AB95</f>
        <v xml:space="preserve">      Прочие амортизационные отчисления</v>
      </c>
      <c r="AE95" s="371">
        <v>0</v>
      </c>
      <c r="AF95" s="1408"/>
      <c r="AG95" s="1403"/>
      <c r="AH95" s="1403"/>
      <c r="AI95" s="1408"/>
      <c r="AJ95" s="1403"/>
      <c r="AK95" s="1403"/>
      <c r="AL95" s="703"/>
      <c r="AM95" s="35"/>
      <c r="AN95" s="35"/>
      <c r="AO95" s="35"/>
      <c r="AP95" s="35"/>
      <c r="AQ95" s="35"/>
      <c r="AR95" s="35"/>
      <c r="AS95" s="35"/>
      <c r="AT95" s="35"/>
      <c r="AU95" s="35"/>
      <c r="AV95" s="35"/>
      <c r="AW95" s="35"/>
      <c r="AX95" s="35"/>
      <c r="AY95" s="35"/>
      <c r="AZ95" s="35"/>
      <c r="BA95" s="35"/>
      <c r="BB95" s="35"/>
      <c r="BC95" s="35"/>
      <c r="BD95" s="35"/>
      <c r="BE95" s="35"/>
      <c r="BF95" s="35"/>
    </row>
    <row r="96" spans="1:58" ht="11.25" customHeight="1">
      <c r="A96" s="301" t="s">
        <v>916</v>
      </c>
      <c r="E96" s="11"/>
      <c r="F96" s="1406"/>
      <c r="G96" s="1421"/>
      <c r="H96" s="1410" t="s">
        <v>105</v>
      </c>
      <c r="I96" s="1411"/>
      <c r="J96" s="1412"/>
      <c r="K96" s="1413"/>
      <c r="L96" s="1127"/>
      <c r="M96" s="1128"/>
      <c r="N96" s="1423"/>
      <c r="O96" s="1424"/>
      <c r="P96" s="1418"/>
      <c r="Q96" s="1377"/>
      <c r="R96" s="1377"/>
      <c r="S96" s="1409"/>
      <c r="T96" s="1377"/>
      <c r="U96" s="1377"/>
      <c r="V96" s="1377"/>
      <c r="W96" s="1377"/>
      <c r="X96" s="1377"/>
      <c r="Y96" s="1377"/>
      <c r="Z96" s="664"/>
      <c r="AA96" s="665"/>
      <c r="AB96" s="108" t="s">
        <v>952</v>
      </c>
      <c r="AC96" s="669"/>
      <c r="AD96" s="669"/>
      <c r="AE96" s="671"/>
      <c r="AF96" s="1408"/>
      <c r="AG96" s="1403"/>
      <c r="AH96" s="1403"/>
      <c r="AI96" s="1408"/>
      <c r="AJ96" s="1403"/>
      <c r="AK96" s="1403"/>
      <c r="AL96" s="703"/>
      <c r="AM96" s="35"/>
      <c r="AN96" s="35"/>
      <c r="AO96" s="35"/>
      <c r="AP96" s="35"/>
      <c r="AQ96" s="35"/>
      <c r="AR96" s="35"/>
      <c r="AS96" s="35"/>
      <c r="AT96" s="35"/>
      <c r="AU96" s="35"/>
      <c r="AV96" s="35"/>
      <c r="AW96" s="35"/>
      <c r="AX96" s="35"/>
      <c r="AY96" s="35"/>
      <c r="AZ96" s="35"/>
      <c r="BA96" s="35"/>
      <c r="BB96" s="35"/>
      <c r="BC96" s="35"/>
      <c r="BD96" s="35"/>
      <c r="BE96" s="35"/>
      <c r="BF96" s="35"/>
    </row>
    <row r="97" spans="1:58" ht="11.25" customHeight="1">
      <c r="A97" s="301" t="s">
        <v>916</v>
      </c>
      <c r="E97" s="11"/>
      <c r="F97" s="1406"/>
      <c r="G97" s="1421"/>
      <c r="H97" s="1410" t="s">
        <v>105</v>
      </c>
      <c r="I97" s="1411"/>
      <c r="J97" s="1412"/>
      <c r="K97" s="1413"/>
      <c r="L97" s="1127"/>
      <c r="M97" s="1128"/>
      <c r="N97" s="664"/>
      <c r="O97" s="665"/>
      <c r="P97" s="108" t="s">
        <v>953</v>
      </c>
      <c r="Q97" s="665"/>
      <c r="R97" s="665"/>
      <c r="S97" s="665"/>
      <c r="T97" s="665"/>
      <c r="U97" s="665"/>
      <c r="V97" s="665"/>
      <c r="W97" s="665"/>
      <c r="X97" s="665"/>
      <c r="Y97" s="665"/>
      <c r="Z97" s="665"/>
      <c r="AA97" s="665"/>
      <c r="AB97" s="665"/>
      <c r="AC97" s="665"/>
      <c r="AD97" s="665"/>
      <c r="AE97" s="672"/>
      <c r="AF97" s="1408"/>
      <c r="AG97" s="1403"/>
      <c r="AH97" s="1403"/>
      <c r="AI97" s="1408"/>
      <c r="AJ97" s="1403"/>
      <c r="AK97" s="1403"/>
      <c r="AL97" s="703"/>
      <c r="AM97" s="35"/>
      <c r="AN97" s="35"/>
      <c r="AO97" s="35"/>
      <c r="AP97" s="35"/>
      <c r="AQ97" s="35"/>
      <c r="AR97" s="35"/>
      <c r="AS97" s="35"/>
      <c r="AT97" s="35"/>
      <c r="AU97" s="35"/>
      <c r="AV97" s="35"/>
      <c r="AW97" s="35"/>
      <c r="AX97" s="35"/>
      <c r="AY97" s="35"/>
      <c r="AZ97" s="35"/>
      <c r="BA97" s="35"/>
      <c r="BB97" s="35"/>
      <c r="BC97" s="35"/>
      <c r="BD97" s="35"/>
      <c r="BE97" s="35"/>
      <c r="BF97" s="35"/>
    </row>
    <row r="98" spans="1:58" ht="11.25" customHeight="1">
      <c r="A98" s="301" t="s">
        <v>916</v>
      </c>
      <c r="E98" s="11"/>
      <c r="F98" s="1406"/>
      <c r="G98" s="1395" t="s">
        <v>117</v>
      </c>
      <c r="H98" s="1410" t="s">
        <v>86</v>
      </c>
      <c r="I98" s="1411"/>
      <c r="J98" s="1412"/>
      <c r="K98" s="1413" t="s">
        <v>969</v>
      </c>
      <c r="L98" s="1127" t="s">
        <v>52</v>
      </c>
      <c r="M98" s="1128"/>
      <c r="N98" s="1046"/>
      <c r="O98" s="666" t="s">
        <v>375</v>
      </c>
      <c r="P98" s="667"/>
      <c r="Q98" s="667"/>
      <c r="R98" s="667"/>
      <c r="S98" s="667"/>
      <c r="T98" s="667"/>
      <c r="U98" s="667"/>
      <c r="V98" s="667"/>
      <c r="W98" s="667"/>
      <c r="X98" s="667"/>
      <c r="Y98" s="667"/>
      <c r="Z98" s="667"/>
      <c r="AA98" s="667"/>
      <c r="AB98" s="667"/>
      <c r="AC98" s="667"/>
      <c r="AD98" s="667"/>
      <c r="AE98" s="667"/>
      <c r="AF98" s="1408">
        <v>2025</v>
      </c>
      <c r="AG98" s="1403" t="s">
        <v>949</v>
      </c>
      <c r="AH98" s="1403" t="s">
        <v>965</v>
      </c>
      <c r="AI98" s="1408">
        <v>2025</v>
      </c>
      <c r="AJ98" s="1403" t="s">
        <v>949</v>
      </c>
      <c r="AK98" s="1403" t="s">
        <v>965</v>
      </c>
      <c r="AL98" s="703"/>
      <c r="AM98" s="35"/>
      <c r="AN98" s="35"/>
      <c r="AO98" s="35"/>
      <c r="AP98" s="35"/>
      <c r="AQ98" s="35"/>
      <c r="AR98" s="35"/>
      <c r="AS98" s="35"/>
      <c r="AT98" s="35"/>
      <c r="AU98" s="35"/>
      <c r="AV98" s="35"/>
      <c r="AW98" s="35"/>
      <c r="AX98" s="35"/>
      <c r="AY98" s="35"/>
      <c r="AZ98" s="35"/>
      <c r="BA98" s="35"/>
      <c r="BB98" s="35"/>
      <c r="BC98" s="35"/>
      <c r="BD98" s="35"/>
      <c r="BE98" s="35"/>
      <c r="BF98" s="35"/>
    </row>
    <row r="99" spans="1:58" ht="11.25" customHeight="1">
      <c r="A99" s="301" t="s">
        <v>916</v>
      </c>
      <c r="E99" s="11"/>
      <c r="F99" s="1406"/>
      <c r="G99" s="1421"/>
      <c r="H99" s="1410" t="s">
        <v>106</v>
      </c>
      <c r="I99" s="1411"/>
      <c r="J99" s="1412"/>
      <c r="K99" s="1413"/>
      <c r="L99" s="1127"/>
      <c r="M99" s="1128"/>
      <c r="N99" s="1423"/>
      <c r="O99" s="1424">
        <v>1</v>
      </c>
      <c r="P99" s="1416" t="s">
        <v>52</v>
      </c>
      <c r="Q99" s="1377" t="s">
        <v>18</v>
      </c>
      <c r="R99" s="1377" t="s">
        <v>18</v>
      </c>
      <c r="S99" s="1377" t="s">
        <v>18</v>
      </c>
      <c r="T99" s="1377" t="s">
        <v>18</v>
      </c>
      <c r="U99" s="1377" t="s">
        <v>18</v>
      </c>
      <c r="V99" s="1377" t="s">
        <v>18</v>
      </c>
      <c r="W99" s="1377" t="s">
        <v>18</v>
      </c>
      <c r="X99" s="1377" t="s">
        <v>18</v>
      </c>
      <c r="Y99" s="1377"/>
      <c r="Z99" s="664"/>
      <c r="AA99" s="665"/>
      <c r="AB99" s="665"/>
      <c r="AC99" s="669"/>
      <c r="AD99" s="669"/>
      <c r="AE99" s="670"/>
      <c r="AF99" s="1408"/>
      <c r="AG99" s="1403"/>
      <c r="AH99" s="1403"/>
      <c r="AI99" s="1408"/>
      <c r="AJ99" s="1403"/>
      <c r="AK99" s="1403"/>
      <c r="AL99" s="703"/>
      <c r="AM99" s="35"/>
      <c r="AN99" s="35"/>
      <c r="AO99" s="35"/>
      <c r="AP99" s="35"/>
      <c r="AQ99" s="35"/>
      <c r="AR99" s="35"/>
      <c r="AS99" s="35"/>
      <c r="AT99" s="35"/>
      <c r="AU99" s="35"/>
      <c r="AV99" s="35"/>
      <c r="AW99" s="35"/>
      <c r="AX99" s="35"/>
      <c r="AY99" s="35"/>
      <c r="AZ99" s="35"/>
      <c r="BA99" s="35"/>
      <c r="BB99" s="35"/>
      <c r="BC99" s="35"/>
      <c r="BD99" s="35"/>
      <c r="BE99" s="35"/>
      <c r="BF99" s="35"/>
    </row>
    <row r="100" spans="1:58" ht="11.25" customHeight="1">
      <c r="A100" s="301" t="s">
        <v>916</v>
      </c>
      <c r="E100" s="11"/>
      <c r="F100" s="1406"/>
      <c r="G100" s="1421"/>
      <c r="H100" s="1410" t="s">
        <v>106</v>
      </c>
      <c r="I100" s="1411"/>
      <c r="J100" s="1412"/>
      <c r="K100" s="1413"/>
      <c r="L100" s="1127"/>
      <c r="M100" s="1128"/>
      <c r="N100" s="1423"/>
      <c r="O100" s="1424"/>
      <c r="P100" s="1417"/>
      <c r="Q100" s="1377"/>
      <c r="R100" s="1377"/>
      <c r="S100" s="1409"/>
      <c r="T100" s="1377"/>
      <c r="U100" s="1377"/>
      <c r="V100" s="1377"/>
      <c r="W100" s="1377"/>
      <c r="X100" s="1377"/>
      <c r="Y100" s="1377"/>
      <c r="Z100" s="978"/>
      <c r="AA100" s="969">
        <v>1</v>
      </c>
      <c r="AB100" s="668" t="s">
        <v>951</v>
      </c>
      <c r="AC100" s="371">
        <v>16500</v>
      </c>
      <c r="AD100" s="668" t="str">
        <f>AB100</f>
        <v xml:space="preserve">      Прочие амортизационные отчисления</v>
      </c>
      <c r="AE100" s="371">
        <v>0</v>
      </c>
      <c r="AF100" s="1408"/>
      <c r="AG100" s="1403"/>
      <c r="AH100" s="1403"/>
      <c r="AI100" s="1408"/>
      <c r="AJ100" s="1403"/>
      <c r="AK100" s="1403"/>
      <c r="AL100" s="703"/>
      <c r="AM100" s="35"/>
      <c r="AN100" s="35"/>
      <c r="AO100" s="35"/>
      <c r="AP100" s="35"/>
      <c r="AQ100" s="35"/>
      <c r="AR100" s="35"/>
      <c r="AS100" s="35"/>
      <c r="AT100" s="35"/>
      <c r="AU100" s="35"/>
      <c r="AV100" s="35"/>
      <c r="AW100" s="35"/>
      <c r="AX100" s="35"/>
      <c r="AY100" s="35"/>
      <c r="AZ100" s="35"/>
      <c r="BA100" s="35"/>
      <c r="BB100" s="35"/>
      <c r="BC100" s="35"/>
      <c r="BD100" s="35"/>
      <c r="BE100" s="35"/>
      <c r="BF100" s="35"/>
    </row>
    <row r="101" spans="1:58" ht="11.25" customHeight="1">
      <c r="A101" s="301" t="s">
        <v>916</v>
      </c>
      <c r="E101" s="11"/>
      <c r="F101" s="1406"/>
      <c r="G101" s="1421"/>
      <c r="H101" s="1410" t="s">
        <v>106</v>
      </c>
      <c r="I101" s="1411"/>
      <c r="J101" s="1412"/>
      <c r="K101" s="1413"/>
      <c r="L101" s="1127"/>
      <c r="M101" s="1128"/>
      <c r="N101" s="1423"/>
      <c r="O101" s="1424"/>
      <c r="P101" s="1418"/>
      <c r="Q101" s="1377"/>
      <c r="R101" s="1377"/>
      <c r="S101" s="1409"/>
      <c r="T101" s="1377"/>
      <c r="U101" s="1377"/>
      <c r="V101" s="1377"/>
      <c r="W101" s="1377"/>
      <c r="X101" s="1377"/>
      <c r="Y101" s="1377"/>
      <c r="Z101" s="664"/>
      <c r="AA101" s="665"/>
      <c r="AB101" s="108" t="s">
        <v>952</v>
      </c>
      <c r="AC101" s="669"/>
      <c r="AD101" s="669"/>
      <c r="AE101" s="671"/>
      <c r="AF101" s="1408"/>
      <c r="AG101" s="1403"/>
      <c r="AH101" s="1403"/>
      <c r="AI101" s="1408"/>
      <c r="AJ101" s="1403"/>
      <c r="AK101" s="1403"/>
      <c r="AL101" s="703"/>
      <c r="AM101" s="35"/>
      <c r="AN101" s="35"/>
      <c r="AO101" s="35"/>
      <c r="AP101" s="35"/>
      <c r="AQ101" s="35"/>
      <c r="AR101" s="35"/>
      <c r="AS101" s="35"/>
      <c r="AT101" s="35"/>
      <c r="AU101" s="35"/>
      <c r="AV101" s="35"/>
      <c r="AW101" s="35"/>
      <c r="AX101" s="35"/>
      <c r="AY101" s="35"/>
      <c r="AZ101" s="35"/>
      <c r="BA101" s="35"/>
      <c r="BB101" s="35"/>
      <c r="BC101" s="35"/>
      <c r="BD101" s="35"/>
      <c r="BE101" s="35"/>
      <c r="BF101" s="35"/>
    </row>
    <row r="102" spans="1:58" ht="11.25" customHeight="1">
      <c r="A102" s="301" t="s">
        <v>916</v>
      </c>
      <c r="E102" s="11"/>
      <c r="F102" s="1406"/>
      <c r="G102" s="1421"/>
      <c r="H102" s="1410" t="s">
        <v>106</v>
      </c>
      <c r="I102" s="1411"/>
      <c r="J102" s="1412"/>
      <c r="K102" s="1413"/>
      <c r="L102" s="1127"/>
      <c r="M102" s="1128"/>
      <c r="N102" s="664"/>
      <c r="O102" s="665"/>
      <c r="P102" s="108" t="s">
        <v>953</v>
      </c>
      <c r="Q102" s="665"/>
      <c r="R102" s="665"/>
      <c r="S102" s="665"/>
      <c r="T102" s="665"/>
      <c r="U102" s="665"/>
      <c r="V102" s="665"/>
      <c r="W102" s="665"/>
      <c r="X102" s="665"/>
      <c r="Y102" s="665"/>
      <c r="Z102" s="665"/>
      <c r="AA102" s="665"/>
      <c r="AB102" s="665"/>
      <c r="AC102" s="665"/>
      <c r="AD102" s="665"/>
      <c r="AE102" s="672"/>
      <c r="AF102" s="1408"/>
      <c r="AG102" s="1403"/>
      <c r="AH102" s="1403"/>
      <c r="AI102" s="1408"/>
      <c r="AJ102" s="1403"/>
      <c r="AK102" s="1403"/>
      <c r="AL102" s="703"/>
      <c r="AM102" s="35"/>
      <c r="AN102" s="35"/>
      <c r="AO102" s="35"/>
      <c r="AP102" s="35"/>
      <c r="AQ102" s="35"/>
      <c r="AR102" s="35"/>
      <c r="AS102" s="35"/>
      <c r="AT102" s="35"/>
      <c r="AU102" s="35"/>
      <c r="AV102" s="35"/>
      <c r="AW102" s="35"/>
      <c r="AX102" s="35"/>
      <c r="AY102" s="35"/>
      <c r="AZ102" s="35"/>
      <c r="BA102" s="35"/>
      <c r="BB102" s="35"/>
      <c r="BC102" s="35"/>
      <c r="BD102" s="35"/>
      <c r="BE102" s="35"/>
      <c r="BF102" s="35"/>
    </row>
    <row r="103" spans="1:58" ht="11.25" customHeight="1">
      <c r="A103" s="301" t="s">
        <v>916</v>
      </c>
      <c r="E103" s="11"/>
      <c r="F103" s="1406"/>
      <c r="G103" s="1395" t="s">
        <v>117</v>
      </c>
      <c r="H103" s="1410" t="s">
        <v>87</v>
      </c>
      <c r="I103" s="1411"/>
      <c r="J103" s="1412"/>
      <c r="K103" s="1413" t="s">
        <v>970</v>
      </c>
      <c r="L103" s="1127" t="s">
        <v>52</v>
      </c>
      <c r="M103" s="1128"/>
      <c r="N103" s="1046"/>
      <c r="O103" s="666" t="s">
        <v>375</v>
      </c>
      <c r="P103" s="667"/>
      <c r="Q103" s="667"/>
      <c r="R103" s="667"/>
      <c r="S103" s="667"/>
      <c r="T103" s="667"/>
      <c r="U103" s="667"/>
      <c r="V103" s="667"/>
      <c r="W103" s="667"/>
      <c r="X103" s="667"/>
      <c r="Y103" s="667"/>
      <c r="Z103" s="667"/>
      <c r="AA103" s="667"/>
      <c r="AB103" s="667"/>
      <c r="AC103" s="667"/>
      <c r="AD103" s="667"/>
      <c r="AE103" s="667"/>
      <c r="AF103" s="1408">
        <v>2024</v>
      </c>
      <c r="AG103" s="1403" t="s">
        <v>949</v>
      </c>
      <c r="AH103" s="1403" t="s">
        <v>965</v>
      </c>
      <c r="AI103" s="1408">
        <v>2024</v>
      </c>
      <c r="AJ103" s="1403" t="s">
        <v>949</v>
      </c>
      <c r="AK103" s="1403" t="s">
        <v>965</v>
      </c>
      <c r="AL103" s="703"/>
      <c r="AM103" s="35"/>
      <c r="AN103" s="35"/>
      <c r="AO103" s="35"/>
      <c r="AP103" s="35"/>
      <c r="AQ103" s="35"/>
      <c r="AR103" s="35"/>
      <c r="AS103" s="35"/>
      <c r="AT103" s="35"/>
      <c r="AU103" s="35"/>
      <c r="AV103" s="35"/>
      <c r="AW103" s="35"/>
      <c r="AX103" s="35"/>
      <c r="AY103" s="35"/>
      <c r="AZ103" s="35"/>
      <c r="BA103" s="35"/>
      <c r="BB103" s="35"/>
      <c r="BC103" s="35"/>
      <c r="BD103" s="35"/>
      <c r="BE103" s="35"/>
      <c r="BF103" s="35"/>
    </row>
    <row r="104" spans="1:58" ht="11.25" customHeight="1">
      <c r="A104" s="301" t="s">
        <v>916</v>
      </c>
      <c r="E104" s="11"/>
      <c r="F104" s="1406"/>
      <c r="G104" s="1421"/>
      <c r="H104" s="1410" t="s">
        <v>86</v>
      </c>
      <c r="I104" s="1411"/>
      <c r="J104" s="1412"/>
      <c r="K104" s="1413"/>
      <c r="L104" s="1127"/>
      <c r="M104" s="1128"/>
      <c r="N104" s="1423"/>
      <c r="O104" s="1424">
        <v>1</v>
      </c>
      <c r="P104" s="1416" t="s">
        <v>52</v>
      </c>
      <c r="Q104" s="1377" t="s">
        <v>18</v>
      </c>
      <c r="R104" s="1377" t="s">
        <v>18</v>
      </c>
      <c r="S104" s="1377" t="s">
        <v>18</v>
      </c>
      <c r="T104" s="1377" t="s">
        <v>18</v>
      </c>
      <c r="U104" s="1377" t="s">
        <v>18</v>
      </c>
      <c r="V104" s="1377" t="s">
        <v>18</v>
      </c>
      <c r="W104" s="1377" t="s">
        <v>18</v>
      </c>
      <c r="X104" s="1377" t="s">
        <v>18</v>
      </c>
      <c r="Y104" s="1377"/>
      <c r="Z104" s="664"/>
      <c r="AA104" s="665"/>
      <c r="AB104" s="665"/>
      <c r="AC104" s="669"/>
      <c r="AD104" s="669"/>
      <c r="AE104" s="670"/>
      <c r="AF104" s="1408"/>
      <c r="AG104" s="1403"/>
      <c r="AH104" s="1403"/>
      <c r="AI104" s="1408"/>
      <c r="AJ104" s="1403"/>
      <c r="AK104" s="1403"/>
      <c r="AL104" s="703"/>
      <c r="AM104" s="35"/>
      <c r="AN104" s="35"/>
      <c r="AO104" s="35"/>
      <c r="AP104" s="35"/>
      <c r="AQ104" s="35"/>
      <c r="AR104" s="35"/>
      <c r="AS104" s="35"/>
      <c r="AT104" s="35"/>
      <c r="AU104" s="35"/>
      <c r="AV104" s="35"/>
      <c r="AW104" s="35"/>
      <c r="AX104" s="35"/>
      <c r="AY104" s="35"/>
      <c r="AZ104" s="35"/>
      <c r="BA104" s="35"/>
      <c r="BB104" s="35"/>
      <c r="BC104" s="35"/>
      <c r="BD104" s="35"/>
      <c r="BE104" s="35"/>
      <c r="BF104" s="35"/>
    </row>
    <row r="105" spans="1:58" ht="11.25" customHeight="1">
      <c r="A105" s="301" t="s">
        <v>916</v>
      </c>
      <c r="E105" s="11"/>
      <c r="F105" s="1406"/>
      <c r="G105" s="1421"/>
      <c r="H105" s="1410" t="s">
        <v>86</v>
      </c>
      <c r="I105" s="1411"/>
      <c r="J105" s="1412"/>
      <c r="K105" s="1413"/>
      <c r="L105" s="1127"/>
      <c r="M105" s="1128"/>
      <c r="N105" s="1423"/>
      <c r="O105" s="1424"/>
      <c r="P105" s="1417"/>
      <c r="Q105" s="1377"/>
      <c r="R105" s="1377"/>
      <c r="S105" s="1409"/>
      <c r="T105" s="1377"/>
      <c r="U105" s="1377"/>
      <c r="V105" s="1377"/>
      <c r="W105" s="1377"/>
      <c r="X105" s="1377"/>
      <c r="Y105" s="1377"/>
      <c r="Z105" s="978"/>
      <c r="AA105" s="969">
        <v>1</v>
      </c>
      <c r="AB105" s="668" t="s">
        <v>951</v>
      </c>
      <c r="AC105" s="371">
        <v>8168.08</v>
      </c>
      <c r="AD105" s="668" t="str">
        <f>AB105</f>
        <v xml:space="preserve">      Прочие амортизационные отчисления</v>
      </c>
      <c r="AE105" s="371">
        <v>0</v>
      </c>
      <c r="AF105" s="1408"/>
      <c r="AG105" s="1403"/>
      <c r="AH105" s="1403"/>
      <c r="AI105" s="1408"/>
      <c r="AJ105" s="1403"/>
      <c r="AK105" s="1403"/>
      <c r="AL105" s="703"/>
      <c r="AM105" s="35"/>
      <c r="AN105" s="35"/>
      <c r="AO105" s="35"/>
      <c r="AP105" s="35"/>
      <c r="AQ105" s="35"/>
      <c r="AR105" s="35"/>
      <c r="AS105" s="35"/>
      <c r="AT105" s="35"/>
      <c r="AU105" s="35"/>
      <c r="AV105" s="35"/>
      <c r="AW105" s="35"/>
      <c r="AX105" s="35"/>
      <c r="AY105" s="35"/>
      <c r="AZ105" s="35"/>
      <c r="BA105" s="35"/>
      <c r="BB105" s="35"/>
      <c r="BC105" s="35"/>
      <c r="BD105" s="35"/>
      <c r="BE105" s="35"/>
      <c r="BF105" s="35"/>
    </row>
    <row r="106" spans="1:58" ht="11.25" customHeight="1">
      <c r="A106" s="301" t="s">
        <v>916</v>
      </c>
      <c r="E106" s="11"/>
      <c r="F106" s="1406"/>
      <c r="G106" s="1421"/>
      <c r="H106" s="1410" t="s">
        <v>86</v>
      </c>
      <c r="I106" s="1411"/>
      <c r="J106" s="1412"/>
      <c r="K106" s="1413"/>
      <c r="L106" s="1127"/>
      <c r="M106" s="1128"/>
      <c r="N106" s="1423"/>
      <c r="O106" s="1424"/>
      <c r="P106" s="1418"/>
      <c r="Q106" s="1377"/>
      <c r="R106" s="1377"/>
      <c r="S106" s="1409"/>
      <c r="T106" s="1377"/>
      <c r="U106" s="1377"/>
      <c r="V106" s="1377"/>
      <c r="W106" s="1377"/>
      <c r="X106" s="1377"/>
      <c r="Y106" s="1377"/>
      <c r="Z106" s="664"/>
      <c r="AA106" s="665"/>
      <c r="AB106" s="108" t="s">
        <v>952</v>
      </c>
      <c r="AC106" s="669"/>
      <c r="AD106" s="669"/>
      <c r="AE106" s="671"/>
      <c r="AF106" s="1408"/>
      <c r="AG106" s="1403"/>
      <c r="AH106" s="1403"/>
      <c r="AI106" s="1408"/>
      <c r="AJ106" s="1403"/>
      <c r="AK106" s="1403"/>
      <c r="AL106" s="703"/>
      <c r="AM106" s="35"/>
      <c r="AN106" s="35"/>
      <c r="AO106" s="35"/>
      <c r="AP106" s="35"/>
      <c r="AQ106" s="35"/>
      <c r="AR106" s="35"/>
      <c r="AS106" s="35"/>
      <c r="AT106" s="35"/>
      <c r="AU106" s="35"/>
      <c r="AV106" s="35"/>
      <c r="AW106" s="35"/>
      <c r="AX106" s="35"/>
      <c r="AY106" s="35"/>
      <c r="AZ106" s="35"/>
      <c r="BA106" s="35"/>
      <c r="BB106" s="35"/>
      <c r="BC106" s="35"/>
      <c r="BD106" s="35"/>
      <c r="BE106" s="35"/>
      <c r="BF106" s="35"/>
    </row>
    <row r="107" spans="1:58" ht="11.25" customHeight="1">
      <c r="A107" s="301" t="s">
        <v>916</v>
      </c>
      <c r="E107" s="11"/>
      <c r="F107" s="1406"/>
      <c r="G107" s="1421"/>
      <c r="H107" s="1410" t="s">
        <v>86</v>
      </c>
      <c r="I107" s="1411"/>
      <c r="J107" s="1412"/>
      <c r="K107" s="1413"/>
      <c r="L107" s="1127"/>
      <c r="M107" s="1128"/>
      <c r="N107" s="664"/>
      <c r="O107" s="665"/>
      <c r="P107" s="108" t="s">
        <v>953</v>
      </c>
      <c r="Q107" s="665"/>
      <c r="R107" s="665"/>
      <c r="S107" s="665"/>
      <c r="T107" s="665"/>
      <c r="U107" s="665"/>
      <c r="V107" s="665"/>
      <c r="W107" s="665"/>
      <c r="X107" s="665"/>
      <c r="Y107" s="665"/>
      <c r="Z107" s="665"/>
      <c r="AA107" s="665"/>
      <c r="AB107" s="665"/>
      <c r="AC107" s="665"/>
      <c r="AD107" s="665"/>
      <c r="AE107" s="672"/>
      <c r="AF107" s="1408"/>
      <c r="AG107" s="1403"/>
      <c r="AH107" s="1403"/>
      <c r="AI107" s="1408"/>
      <c r="AJ107" s="1403"/>
      <c r="AK107" s="1403"/>
      <c r="AL107" s="703"/>
      <c r="AM107" s="35"/>
      <c r="AN107" s="35"/>
      <c r="AO107" s="35"/>
      <c r="AP107" s="35"/>
      <c r="AQ107" s="35"/>
      <c r="AR107" s="35"/>
      <c r="AS107" s="35"/>
      <c r="AT107" s="35"/>
      <c r="AU107" s="35"/>
      <c r="AV107" s="35"/>
      <c r="AW107" s="35"/>
      <c r="AX107" s="35"/>
      <c r="AY107" s="35"/>
      <c r="AZ107" s="35"/>
      <c r="BA107" s="35"/>
      <c r="BB107" s="35"/>
      <c r="BC107" s="35"/>
      <c r="BD107" s="35"/>
      <c r="BE107" s="35"/>
      <c r="BF107" s="35"/>
    </row>
    <row r="108" spans="1:58" ht="11.25" customHeight="1">
      <c r="A108" s="301" t="s">
        <v>916</v>
      </c>
      <c r="E108" s="11"/>
      <c r="F108" s="1406"/>
      <c r="G108" s="1395" t="s">
        <v>117</v>
      </c>
      <c r="H108" s="1410" t="s">
        <v>107</v>
      </c>
      <c r="I108" s="1411"/>
      <c r="J108" s="1412"/>
      <c r="K108" s="1413" t="s">
        <v>971</v>
      </c>
      <c r="L108" s="1127" t="s">
        <v>52</v>
      </c>
      <c r="M108" s="1128"/>
      <c r="N108" s="1046"/>
      <c r="O108" s="666" t="s">
        <v>375</v>
      </c>
      <c r="P108" s="667"/>
      <c r="Q108" s="667"/>
      <c r="R108" s="667"/>
      <c r="S108" s="667"/>
      <c r="T108" s="667"/>
      <c r="U108" s="667"/>
      <c r="V108" s="667"/>
      <c r="W108" s="667"/>
      <c r="X108" s="667"/>
      <c r="Y108" s="667"/>
      <c r="Z108" s="667"/>
      <c r="AA108" s="667"/>
      <c r="AB108" s="667"/>
      <c r="AC108" s="667"/>
      <c r="AD108" s="667"/>
      <c r="AE108" s="667"/>
      <c r="AF108" s="1408">
        <v>2026</v>
      </c>
      <c r="AG108" s="1403" t="s">
        <v>949</v>
      </c>
      <c r="AH108" s="1403" t="s">
        <v>965</v>
      </c>
      <c r="AI108" s="1408">
        <v>2026</v>
      </c>
      <c r="AJ108" s="1403" t="s">
        <v>949</v>
      </c>
      <c r="AK108" s="1403" t="s">
        <v>965</v>
      </c>
      <c r="AL108" s="703"/>
      <c r="AM108" s="35"/>
      <c r="AN108" s="35"/>
      <c r="AO108" s="35"/>
      <c r="AP108" s="35"/>
      <c r="AQ108" s="35"/>
      <c r="AR108" s="35"/>
      <c r="AS108" s="35"/>
      <c r="AT108" s="35"/>
      <c r="AU108" s="35"/>
      <c r="AV108" s="35"/>
      <c r="AW108" s="35"/>
      <c r="AX108" s="35"/>
      <c r="AY108" s="35"/>
      <c r="AZ108" s="35"/>
      <c r="BA108" s="35"/>
      <c r="BB108" s="35"/>
      <c r="BC108" s="35"/>
      <c r="BD108" s="35"/>
      <c r="BE108" s="35"/>
      <c r="BF108" s="35"/>
    </row>
    <row r="109" spans="1:58" ht="11.25" customHeight="1">
      <c r="A109" s="301" t="s">
        <v>916</v>
      </c>
      <c r="E109" s="11"/>
      <c r="F109" s="1406"/>
      <c r="G109" s="1421"/>
      <c r="H109" s="1410" t="s">
        <v>87</v>
      </c>
      <c r="I109" s="1411"/>
      <c r="J109" s="1412"/>
      <c r="K109" s="1413"/>
      <c r="L109" s="1127"/>
      <c r="M109" s="1128"/>
      <c r="N109" s="1423"/>
      <c r="O109" s="1424">
        <v>1</v>
      </c>
      <c r="P109" s="1416" t="s">
        <v>52</v>
      </c>
      <c r="Q109" s="1377" t="s">
        <v>18</v>
      </c>
      <c r="R109" s="1377" t="s">
        <v>18</v>
      </c>
      <c r="S109" s="1377" t="s">
        <v>18</v>
      </c>
      <c r="T109" s="1377" t="s">
        <v>18</v>
      </c>
      <c r="U109" s="1377" t="s">
        <v>18</v>
      </c>
      <c r="V109" s="1377" t="s">
        <v>18</v>
      </c>
      <c r="W109" s="1377" t="s">
        <v>18</v>
      </c>
      <c r="X109" s="1377" t="s">
        <v>18</v>
      </c>
      <c r="Y109" s="1377"/>
      <c r="Z109" s="664"/>
      <c r="AA109" s="665"/>
      <c r="AB109" s="665"/>
      <c r="AC109" s="669"/>
      <c r="AD109" s="669"/>
      <c r="AE109" s="670"/>
      <c r="AF109" s="1408"/>
      <c r="AG109" s="1403"/>
      <c r="AH109" s="1403"/>
      <c r="AI109" s="1408"/>
      <c r="AJ109" s="1403"/>
      <c r="AK109" s="1403"/>
      <c r="AL109" s="703"/>
      <c r="AM109" s="35"/>
      <c r="AN109" s="35"/>
      <c r="AO109" s="35"/>
      <c r="AP109" s="35"/>
      <c r="AQ109" s="35"/>
      <c r="AR109" s="35"/>
      <c r="AS109" s="35"/>
      <c r="AT109" s="35"/>
      <c r="AU109" s="35"/>
      <c r="AV109" s="35"/>
      <c r="AW109" s="35"/>
      <c r="AX109" s="35"/>
      <c r="AY109" s="35"/>
      <c r="AZ109" s="35"/>
      <c r="BA109" s="35"/>
      <c r="BB109" s="35"/>
      <c r="BC109" s="35"/>
      <c r="BD109" s="35"/>
      <c r="BE109" s="35"/>
      <c r="BF109" s="35"/>
    </row>
    <row r="110" spans="1:58" ht="11.25" customHeight="1">
      <c r="A110" s="301" t="s">
        <v>916</v>
      </c>
      <c r="E110" s="11"/>
      <c r="F110" s="1406"/>
      <c r="G110" s="1421"/>
      <c r="H110" s="1410" t="s">
        <v>87</v>
      </c>
      <c r="I110" s="1411"/>
      <c r="J110" s="1412"/>
      <c r="K110" s="1413"/>
      <c r="L110" s="1127"/>
      <c r="M110" s="1128"/>
      <c r="N110" s="1423"/>
      <c r="O110" s="1424"/>
      <c r="P110" s="1417"/>
      <c r="Q110" s="1377"/>
      <c r="R110" s="1377"/>
      <c r="S110" s="1409"/>
      <c r="T110" s="1377"/>
      <c r="U110" s="1377"/>
      <c r="V110" s="1377"/>
      <c r="W110" s="1377"/>
      <c r="X110" s="1377"/>
      <c r="Y110" s="1377"/>
      <c r="Z110" s="978"/>
      <c r="AA110" s="969">
        <v>1</v>
      </c>
      <c r="AB110" s="668" t="s">
        <v>951</v>
      </c>
      <c r="AC110" s="371">
        <v>5750.45</v>
      </c>
      <c r="AD110" s="668" t="str">
        <f>AB110</f>
        <v xml:space="preserve">      Прочие амортизационные отчисления</v>
      </c>
      <c r="AE110" s="371">
        <v>0</v>
      </c>
      <c r="AF110" s="1408"/>
      <c r="AG110" s="1403"/>
      <c r="AH110" s="1403"/>
      <c r="AI110" s="1408"/>
      <c r="AJ110" s="1403"/>
      <c r="AK110" s="1403"/>
      <c r="AL110" s="703"/>
      <c r="AM110" s="35"/>
      <c r="AN110" s="35"/>
      <c r="AO110" s="35"/>
      <c r="AP110" s="35"/>
      <c r="AQ110" s="35"/>
      <c r="AR110" s="35"/>
      <c r="AS110" s="35"/>
      <c r="AT110" s="35"/>
      <c r="AU110" s="35"/>
      <c r="AV110" s="35"/>
      <c r="AW110" s="35"/>
      <c r="AX110" s="35"/>
      <c r="AY110" s="35"/>
      <c r="AZ110" s="35"/>
      <c r="BA110" s="35"/>
      <c r="BB110" s="35"/>
      <c r="BC110" s="35"/>
      <c r="BD110" s="35"/>
      <c r="BE110" s="35"/>
      <c r="BF110" s="35"/>
    </row>
    <row r="111" spans="1:58" ht="11.25" customHeight="1">
      <c r="A111" s="301" t="s">
        <v>916</v>
      </c>
      <c r="E111" s="11"/>
      <c r="F111" s="1406"/>
      <c r="G111" s="1421"/>
      <c r="H111" s="1410" t="s">
        <v>87</v>
      </c>
      <c r="I111" s="1411"/>
      <c r="J111" s="1412"/>
      <c r="K111" s="1413"/>
      <c r="L111" s="1127"/>
      <c r="M111" s="1128"/>
      <c r="N111" s="1423"/>
      <c r="O111" s="1424"/>
      <c r="P111" s="1418"/>
      <c r="Q111" s="1377"/>
      <c r="R111" s="1377"/>
      <c r="S111" s="1409"/>
      <c r="T111" s="1377"/>
      <c r="U111" s="1377"/>
      <c r="V111" s="1377"/>
      <c r="W111" s="1377"/>
      <c r="X111" s="1377"/>
      <c r="Y111" s="1377"/>
      <c r="Z111" s="664"/>
      <c r="AA111" s="665"/>
      <c r="AB111" s="108" t="s">
        <v>952</v>
      </c>
      <c r="AC111" s="669"/>
      <c r="AD111" s="669"/>
      <c r="AE111" s="671"/>
      <c r="AF111" s="1408"/>
      <c r="AG111" s="1403"/>
      <c r="AH111" s="1403"/>
      <c r="AI111" s="1408"/>
      <c r="AJ111" s="1403"/>
      <c r="AK111" s="1403"/>
      <c r="AL111" s="703"/>
      <c r="AM111" s="35"/>
      <c r="AN111" s="35"/>
      <c r="AO111" s="35"/>
      <c r="AP111" s="35"/>
      <c r="AQ111" s="35"/>
      <c r="AR111" s="35"/>
      <c r="AS111" s="35"/>
      <c r="AT111" s="35"/>
      <c r="AU111" s="35"/>
      <c r="AV111" s="35"/>
      <c r="AW111" s="35"/>
      <c r="AX111" s="35"/>
      <c r="AY111" s="35"/>
      <c r="AZ111" s="35"/>
      <c r="BA111" s="35"/>
      <c r="BB111" s="35"/>
      <c r="BC111" s="35"/>
      <c r="BD111" s="35"/>
      <c r="BE111" s="35"/>
      <c r="BF111" s="35"/>
    </row>
    <row r="112" spans="1:58" ht="11.25" customHeight="1">
      <c r="A112" s="301" t="s">
        <v>916</v>
      </c>
      <c r="E112" s="11"/>
      <c r="F112" s="1406"/>
      <c r="G112" s="1421"/>
      <c r="H112" s="1410" t="s">
        <v>87</v>
      </c>
      <c r="I112" s="1411"/>
      <c r="J112" s="1412"/>
      <c r="K112" s="1413"/>
      <c r="L112" s="1127"/>
      <c r="M112" s="1128"/>
      <c r="N112" s="664"/>
      <c r="O112" s="665"/>
      <c r="P112" s="108" t="s">
        <v>953</v>
      </c>
      <c r="Q112" s="665"/>
      <c r="R112" s="665"/>
      <c r="S112" s="665"/>
      <c r="T112" s="665"/>
      <c r="U112" s="665"/>
      <c r="V112" s="665"/>
      <c r="W112" s="665"/>
      <c r="X112" s="665"/>
      <c r="Y112" s="665"/>
      <c r="Z112" s="665"/>
      <c r="AA112" s="665"/>
      <c r="AB112" s="665"/>
      <c r="AC112" s="665"/>
      <c r="AD112" s="665"/>
      <c r="AE112" s="672"/>
      <c r="AF112" s="1408"/>
      <c r="AG112" s="1403"/>
      <c r="AH112" s="1403"/>
      <c r="AI112" s="1408"/>
      <c r="AJ112" s="1403"/>
      <c r="AK112" s="1403"/>
      <c r="AL112" s="703"/>
      <c r="AM112" s="35"/>
      <c r="AN112" s="35"/>
      <c r="AO112" s="35"/>
      <c r="AP112" s="35"/>
      <c r="AQ112" s="35"/>
      <c r="AR112" s="35"/>
      <c r="AS112" s="35"/>
      <c r="AT112" s="35"/>
      <c r="AU112" s="35"/>
      <c r="AV112" s="35"/>
      <c r="AW112" s="35"/>
      <c r="AX112" s="35"/>
      <c r="AY112" s="35"/>
      <c r="AZ112" s="35"/>
      <c r="BA112" s="35"/>
      <c r="BB112" s="35"/>
      <c r="BC112" s="35"/>
      <c r="BD112" s="35"/>
      <c r="BE112" s="35"/>
      <c r="BF112" s="35"/>
    </row>
    <row r="113" spans="1:58" ht="11.25" customHeight="1">
      <c r="A113" s="301" t="s">
        <v>916</v>
      </c>
      <c r="E113" s="11"/>
      <c r="F113" s="1406"/>
      <c r="G113" s="1395" t="s">
        <v>117</v>
      </c>
      <c r="H113" s="1410" t="s">
        <v>88</v>
      </c>
      <c r="I113" s="1411"/>
      <c r="J113" s="1412"/>
      <c r="K113" s="1413" t="s">
        <v>972</v>
      </c>
      <c r="L113" s="1127" t="s">
        <v>52</v>
      </c>
      <c r="M113" s="1128"/>
      <c r="N113" s="1046"/>
      <c r="O113" s="666" t="s">
        <v>375</v>
      </c>
      <c r="P113" s="667"/>
      <c r="Q113" s="667"/>
      <c r="R113" s="667"/>
      <c r="S113" s="667"/>
      <c r="T113" s="667"/>
      <c r="U113" s="667"/>
      <c r="V113" s="667"/>
      <c r="W113" s="667"/>
      <c r="X113" s="667"/>
      <c r="Y113" s="667"/>
      <c r="Z113" s="667"/>
      <c r="AA113" s="667"/>
      <c r="AB113" s="667"/>
      <c r="AC113" s="667"/>
      <c r="AD113" s="667"/>
      <c r="AE113" s="667"/>
      <c r="AF113" s="1408">
        <v>2026</v>
      </c>
      <c r="AG113" s="1403" t="s">
        <v>949</v>
      </c>
      <c r="AH113" s="1403" t="s">
        <v>965</v>
      </c>
      <c r="AI113" s="1408">
        <v>2026</v>
      </c>
      <c r="AJ113" s="1403" t="s">
        <v>949</v>
      </c>
      <c r="AK113" s="1403" t="s">
        <v>965</v>
      </c>
      <c r="AL113" s="703"/>
      <c r="AM113" s="35"/>
      <c r="AN113" s="35"/>
      <c r="AO113" s="35"/>
      <c r="AP113" s="35"/>
      <c r="AQ113" s="35"/>
      <c r="AR113" s="35"/>
      <c r="AS113" s="35"/>
      <c r="AT113" s="35"/>
      <c r="AU113" s="35"/>
      <c r="AV113" s="35"/>
      <c r="AW113" s="35"/>
      <c r="AX113" s="35"/>
      <c r="AY113" s="35"/>
      <c r="AZ113" s="35"/>
      <c r="BA113" s="35"/>
      <c r="BB113" s="35"/>
      <c r="BC113" s="35"/>
      <c r="BD113" s="35"/>
      <c r="BE113" s="35"/>
      <c r="BF113" s="35"/>
    </row>
    <row r="114" spans="1:58" ht="11.25" customHeight="1">
      <c r="A114" s="301" t="s">
        <v>916</v>
      </c>
      <c r="E114" s="11"/>
      <c r="F114" s="1406"/>
      <c r="G114" s="1421"/>
      <c r="H114" s="1410" t="s">
        <v>107</v>
      </c>
      <c r="I114" s="1411"/>
      <c r="J114" s="1412"/>
      <c r="K114" s="1413"/>
      <c r="L114" s="1127"/>
      <c r="M114" s="1128"/>
      <c r="N114" s="1423"/>
      <c r="O114" s="1424">
        <v>1</v>
      </c>
      <c r="P114" s="1416" t="s">
        <v>52</v>
      </c>
      <c r="Q114" s="1377" t="s">
        <v>18</v>
      </c>
      <c r="R114" s="1377" t="s">
        <v>18</v>
      </c>
      <c r="S114" s="1377" t="s">
        <v>18</v>
      </c>
      <c r="T114" s="1377" t="s">
        <v>18</v>
      </c>
      <c r="U114" s="1377" t="s">
        <v>18</v>
      </c>
      <c r="V114" s="1377" t="s">
        <v>18</v>
      </c>
      <c r="W114" s="1377" t="s">
        <v>18</v>
      </c>
      <c r="X114" s="1377" t="s">
        <v>18</v>
      </c>
      <c r="Y114" s="1377"/>
      <c r="Z114" s="664"/>
      <c r="AA114" s="665"/>
      <c r="AB114" s="665"/>
      <c r="AC114" s="669"/>
      <c r="AD114" s="669"/>
      <c r="AE114" s="670"/>
      <c r="AF114" s="1408"/>
      <c r="AG114" s="1403"/>
      <c r="AH114" s="1403"/>
      <c r="AI114" s="1408"/>
      <c r="AJ114" s="1403"/>
      <c r="AK114" s="1403"/>
      <c r="AL114" s="703"/>
      <c r="AM114" s="35"/>
      <c r="AN114" s="35"/>
      <c r="AO114" s="35"/>
      <c r="AP114" s="35"/>
      <c r="AQ114" s="35"/>
      <c r="AR114" s="35"/>
      <c r="AS114" s="35"/>
      <c r="AT114" s="35"/>
      <c r="AU114" s="35"/>
      <c r="AV114" s="35"/>
      <c r="AW114" s="35"/>
      <c r="AX114" s="35"/>
      <c r="AY114" s="35"/>
      <c r="AZ114" s="35"/>
      <c r="BA114" s="35"/>
      <c r="BB114" s="35"/>
      <c r="BC114" s="35"/>
      <c r="BD114" s="35"/>
      <c r="BE114" s="35"/>
      <c r="BF114" s="35"/>
    </row>
    <row r="115" spans="1:58" ht="11.25" customHeight="1">
      <c r="A115" s="301" t="s">
        <v>916</v>
      </c>
      <c r="E115" s="11"/>
      <c r="F115" s="1406"/>
      <c r="G115" s="1421"/>
      <c r="H115" s="1410" t="s">
        <v>107</v>
      </c>
      <c r="I115" s="1411"/>
      <c r="J115" s="1412"/>
      <c r="K115" s="1413"/>
      <c r="L115" s="1127"/>
      <c r="M115" s="1128"/>
      <c r="N115" s="1423"/>
      <c r="O115" s="1424"/>
      <c r="P115" s="1417"/>
      <c r="Q115" s="1377"/>
      <c r="R115" s="1377"/>
      <c r="S115" s="1409"/>
      <c r="T115" s="1377"/>
      <c r="U115" s="1377"/>
      <c r="V115" s="1377"/>
      <c r="W115" s="1377"/>
      <c r="X115" s="1377"/>
      <c r="Y115" s="1377"/>
      <c r="Z115" s="978"/>
      <c r="AA115" s="969">
        <v>1</v>
      </c>
      <c r="AB115" s="668" t="s">
        <v>951</v>
      </c>
      <c r="AC115" s="371">
        <v>3725.25</v>
      </c>
      <c r="AD115" s="668" t="str">
        <f>AB115</f>
        <v xml:space="preserve">      Прочие амортизационные отчисления</v>
      </c>
      <c r="AE115" s="371">
        <v>0</v>
      </c>
      <c r="AF115" s="1408"/>
      <c r="AG115" s="1403"/>
      <c r="AH115" s="1403"/>
      <c r="AI115" s="1408"/>
      <c r="AJ115" s="1403"/>
      <c r="AK115" s="1403"/>
      <c r="AL115" s="703"/>
      <c r="AM115" s="35"/>
      <c r="AN115" s="35"/>
      <c r="AO115" s="35"/>
      <c r="AP115" s="35"/>
      <c r="AQ115" s="35"/>
      <c r="AR115" s="35"/>
      <c r="AS115" s="35"/>
      <c r="AT115" s="35"/>
      <c r="AU115" s="35"/>
      <c r="AV115" s="35"/>
      <c r="AW115" s="35"/>
      <c r="AX115" s="35"/>
      <c r="AY115" s="35"/>
      <c r="AZ115" s="35"/>
      <c r="BA115" s="35"/>
      <c r="BB115" s="35"/>
      <c r="BC115" s="35"/>
      <c r="BD115" s="35"/>
      <c r="BE115" s="35"/>
      <c r="BF115" s="35"/>
    </row>
    <row r="116" spans="1:58" ht="11.25" customHeight="1">
      <c r="A116" s="301" t="s">
        <v>916</v>
      </c>
      <c r="E116" s="11"/>
      <c r="F116" s="1406"/>
      <c r="G116" s="1421"/>
      <c r="H116" s="1410" t="s">
        <v>107</v>
      </c>
      <c r="I116" s="1411"/>
      <c r="J116" s="1412"/>
      <c r="K116" s="1413"/>
      <c r="L116" s="1127"/>
      <c r="M116" s="1128"/>
      <c r="N116" s="1423"/>
      <c r="O116" s="1424"/>
      <c r="P116" s="1418"/>
      <c r="Q116" s="1377"/>
      <c r="R116" s="1377"/>
      <c r="S116" s="1409"/>
      <c r="T116" s="1377"/>
      <c r="U116" s="1377"/>
      <c r="V116" s="1377"/>
      <c r="W116" s="1377"/>
      <c r="X116" s="1377"/>
      <c r="Y116" s="1377"/>
      <c r="Z116" s="664"/>
      <c r="AA116" s="665"/>
      <c r="AB116" s="108" t="s">
        <v>952</v>
      </c>
      <c r="AC116" s="669"/>
      <c r="AD116" s="669"/>
      <c r="AE116" s="671"/>
      <c r="AF116" s="1408"/>
      <c r="AG116" s="1403"/>
      <c r="AH116" s="1403"/>
      <c r="AI116" s="1408"/>
      <c r="AJ116" s="1403"/>
      <c r="AK116" s="1403"/>
      <c r="AL116" s="703"/>
      <c r="AM116" s="35"/>
      <c r="AN116" s="35"/>
      <c r="AO116" s="35"/>
      <c r="AP116" s="35"/>
      <c r="AQ116" s="35"/>
      <c r="AR116" s="35"/>
      <c r="AS116" s="35"/>
      <c r="AT116" s="35"/>
      <c r="AU116" s="35"/>
      <c r="AV116" s="35"/>
      <c r="AW116" s="35"/>
      <c r="AX116" s="35"/>
      <c r="AY116" s="35"/>
      <c r="AZ116" s="35"/>
      <c r="BA116" s="35"/>
      <c r="BB116" s="35"/>
      <c r="BC116" s="35"/>
      <c r="BD116" s="35"/>
      <c r="BE116" s="35"/>
      <c r="BF116" s="35"/>
    </row>
    <row r="117" spans="1:58" ht="11.25" customHeight="1">
      <c r="A117" s="301" t="s">
        <v>916</v>
      </c>
      <c r="E117" s="11"/>
      <c r="F117" s="1406"/>
      <c r="G117" s="1421"/>
      <c r="H117" s="1410" t="s">
        <v>107</v>
      </c>
      <c r="I117" s="1411"/>
      <c r="J117" s="1412"/>
      <c r="K117" s="1413"/>
      <c r="L117" s="1127"/>
      <c r="M117" s="1128"/>
      <c r="N117" s="664"/>
      <c r="O117" s="665"/>
      <c r="P117" s="108" t="s">
        <v>953</v>
      </c>
      <c r="Q117" s="665"/>
      <c r="R117" s="665"/>
      <c r="S117" s="665"/>
      <c r="T117" s="665"/>
      <c r="U117" s="665"/>
      <c r="V117" s="665"/>
      <c r="W117" s="665"/>
      <c r="X117" s="665"/>
      <c r="Y117" s="665"/>
      <c r="Z117" s="665"/>
      <c r="AA117" s="665"/>
      <c r="AB117" s="665"/>
      <c r="AC117" s="665"/>
      <c r="AD117" s="665"/>
      <c r="AE117" s="672"/>
      <c r="AF117" s="1408"/>
      <c r="AG117" s="1403"/>
      <c r="AH117" s="1403"/>
      <c r="AI117" s="1408"/>
      <c r="AJ117" s="1403"/>
      <c r="AK117" s="1403"/>
      <c r="AL117" s="703"/>
      <c r="AM117" s="35"/>
      <c r="AN117" s="35"/>
      <c r="AO117" s="35"/>
      <c r="AP117" s="35"/>
      <c r="AQ117" s="35"/>
      <c r="AR117" s="35"/>
      <c r="AS117" s="35"/>
      <c r="AT117" s="35"/>
      <c r="AU117" s="35"/>
      <c r="AV117" s="35"/>
      <c r="AW117" s="35"/>
      <c r="AX117" s="35"/>
      <c r="AY117" s="35"/>
      <c r="AZ117" s="35"/>
      <c r="BA117" s="35"/>
      <c r="BB117" s="35"/>
      <c r="BC117" s="35"/>
      <c r="BD117" s="35"/>
      <c r="BE117" s="35"/>
      <c r="BF117" s="35"/>
    </row>
    <row r="118" spans="1:58" ht="11.25" customHeight="1">
      <c r="A118" s="301" t="s">
        <v>916</v>
      </c>
      <c r="E118" s="11"/>
      <c r="F118" s="1406"/>
      <c r="G118" s="1395" t="s">
        <v>117</v>
      </c>
      <c r="H118" s="1410" t="s">
        <v>89</v>
      </c>
      <c r="I118" s="1411"/>
      <c r="J118" s="1412"/>
      <c r="K118" s="1413" t="s">
        <v>973</v>
      </c>
      <c r="L118" s="1127" t="s">
        <v>52</v>
      </c>
      <c r="M118" s="1128"/>
      <c r="N118" s="1046"/>
      <c r="O118" s="666" t="s">
        <v>375</v>
      </c>
      <c r="P118" s="667"/>
      <c r="Q118" s="667"/>
      <c r="R118" s="667"/>
      <c r="S118" s="667"/>
      <c r="T118" s="667"/>
      <c r="U118" s="667"/>
      <c r="V118" s="667"/>
      <c r="W118" s="667"/>
      <c r="X118" s="667"/>
      <c r="Y118" s="667"/>
      <c r="Z118" s="667"/>
      <c r="AA118" s="667"/>
      <c r="AB118" s="667"/>
      <c r="AC118" s="667"/>
      <c r="AD118" s="667"/>
      <c r="AE118" s="667"/>
      <c r="AF118" s="1408">
        <v>2025</v>
      </c>
      <c r="AG118" s="1403" t="s">
        <v>949</v>
      </c>
      <c r="AH118" s="1403" t="s">
        <v>965</v>
      </c>
      <c r="AI118" s="1408">
        <v>2025</v>
      </c>
      <c r="AJ118" s="1403" t="s">
        <v>949</v>
      </c>
      <c r="AK118" s="1403" t="s">
        <v>965</v>
      </c>
      <c r="AL118" s="703"/>
      <c r="AM118" s="35"/>
      <c r="AN118" s="35"/>
      <c r="AO118" s="35"/>
      <c r="AP118" s="35"/>
      <c r="AQ118" s="35"/>
      <c r="AR118" s="35"/>
      <c r="AS118" s="35"/>
      <c r="AT118" s="35"/>
      <c r="AU118" s="35"/>
      <c r="AV118" s="35"/>
      <c r="AW118" s="35"/>
      <c r="AX118" s="35"/>
      <c r="AY118" s="35"/>
      <c r="AZ118" s="35"/>
      <c r="BA118" s="35"/>
      <c r="BB118" s="35"/>
      <c r="BC118" s="35"/>
      <c r="BD118" s="35"/>
      <c r="BE118" s="35"/>
      <c r="BF118" s="35"/>
    </row>
    <row r="119" spans="1:58" ht="11.25" customHeight="1">
      <c r="A119" s="301" t="s">
        <v>916</v>
      </c>
      <c r="E119" s="11"/>
      <c r="F119" s="1406"/>
      <c r="G119" s="1421"/>
      <c r="H119" s="1410" t="s">
        <v>88</v>
      </c>
      <c r="I119" s="1411"/>
      <c r="J119" s="1412"/>
      <c r="K119" s="1413"/>
      <c r="L119" s="1127"/>
      <c r="M119" s="1128"/>
      <c r="N119" s="1423"/>
      <c r="O119" s="1424">
        <v>1</v>
      </c>
      <c r="P119" s="1416" t="s">
        <v>52</v>
      </c>
      <c r="Q119" s="1377" t="s">
        <v>18</v>
      </c>
      <c r="R119" s="1377" t="s">
        <v>18</v>
      </c>
      <c r="S119" s="1377" t="s">
        <v>18</v>
      </c>
      <c r="T119" s="1377" t="s">
        <v>18</v>
      </c>
      <c r="U119" s="1377" t="s">
        <v>18</v>
      </c>
      <c r="V119" s="1377" t="s">
        <v>18</v>
      </c>
      <c r="W119" s="1377" t="s">
        <v>18</v>
      </c>
      <c r="X119" s="1377" t="s">
        <v>18</v>
      </c>
      <c r="Y119" s="1377"/>
      <c r="Z119" s="664"/>
      <c r="AA119" s="665"/>
      <c r="AB119" s="665"/>
      <c r="AC119" s="669"/>
      <c r="AD119" s="669"/>
      <c r="AE119" s="670"/>
      <c r="AF119" s="1408"/>
      <c r="AG119" s="1403"/>
      <c r="AH119" s="1403"/>
      <c r="AI119" s="1408"/>
      <c r="AJ119" s="1403"/>
      <c r="AK119" s="1403"/>
      <c r="AL119" s="703"/>
      <c r="AM119" s="35"/>
      <c r="AN119" s="35"/>
      <c r="AO119" s="35"/>
      <c r="AP119" s="35"/>
      <c r="AQ119" s="35"/>
      <c r="AR119" s="35"/>
      <c r="AS119" s="35"/>
      <c r="AT119" s="35"/>
      <c r="AU119" s="35"/>
      <c r="AV119" s="35"/>
      <c r="AW119" s="35"/>
      <c r="AX119" s="35"/>
      <c r="AY119" s="35"/>
      <c r="AZ119" s="35"/>
      <c r="BA119" s="35"/>
      <c r="BB119" s="35"/>
      <c r="BC119" s="35"/>
      <c r="BD119" s="35"/>
      <c r="BE119" s="35"/>
      <c r="BF119" s="35"/>
    </row>
    <row r="120" spans="1:58" ht="11.25" customHeight="1">
      <c r="A120" s="301" t="s">
        <v>916</v>
      </c>
      <c r="E120" s="11"/>
      <c r="F120" s="1406"/>
      <c r="G120" s="1421"/>
      <c r="H120" s="1410" t="s">
        <v>88</v>
      </c>
      <c r="I120" s="1411"/>
      <c r="J120" s="1412"/>
      <c r="K120" s="1413"/>
      <c r="L120" s="1127"/>
      <c r="M120" s="1128"/>
      <c r="N120" s="1423"/>
      <c r="O120" s="1424"/>
      <c r="P120" s="1417"/>
      <c r="Q120" s="1377"/>
      <c r="R120" s="1377"/>
      <c r="S120" s="1409"/>
      <c r="T120" s="1377"/>
      <c r="U120" s="1377"/>
      <c r="V120" s="1377"/>
      <c r="W120" s="1377"/>
      <c r="X120" s="1377"/>
      <c r="Y120" s="1377"/>
      <c r="Z120" s="978"/>
      <c r="AA120" s="969">
        <v>1</v>
      </c>
      <c r="AB120" s="668" t="s">
        <v>951</v>
      </c>
      <c r="AC120" s="371">
        <v>5169.7299999999996</v>
      </c>
      <c r="AD120" s="668" t="str">
        <f>AB120</f>
        <v xml:space="preserve">      Прочие амортизационные отчисления</v>
      </c>
      <c r="AE120" s="371">
        <v>0</v>
      </c>
      <c r="AF120" s="1408"/>
      <c r="AG120" s="1403"/>
      <c r="AH120" s="1403"/>
      <c r="AI120" s="1408"/>
      <c r="AJ120" s="1403"/>
      <c r="AK120" s="1403"/>
      <c r="AL120" s="703"/>
      <c r="AM120" s="35"/>
      <c r="AN120" s="35"/>
      <c r="AO120" s="35"/>
      <c r="AP120" s="35"/>
      <c r="AQ120" s="35"/>
      <c r="AR120" s="35"/>
      <c r="AS120" s="35"/>
      <c r="AT120" s="35"/>
      <c r="AU120" s="35"/>
      <c r="AV120" s="35"/>
      <c r="AW120" s="35"/>
      <c r="AX120" s="35"/>
      <c r="AY120" s="35"/>
      <c r="AZ120" s="35"/>
      <c r="BA120" s="35"/>
      <c r="BB120" s="35"/>
      <c r="BC120" s="35"/>
      <c r="BD120" s="35"/>
      <c r="BE120" s="35"/>
      <c r="BF120" s="35"/>
    </row>
    <row r="121" spans="1:58" ht="11.25" customHeight="1">
      <c r="A121" s="301" t="s">
        <v>916</v>
      </c>
      <c r="E121" s="11"/>
      <c r="F121" s="1406"/>
      <c r="G121" s="1421"/>
      <c r="H121" s="1410" t="s">
        <v>88</v>
      </c>
      <c r="I121" s="1411"/>
      <c r="J121" s="1412"/>
      <c r="K121" s="1413"/>
      <c r="L121" s="1127"/>
      <c r="M121" s="1128"/>
      <c r="N121" s="1423"/>
      <c r="O121" s="1424"/>
      <c r="P121" s="1418"/>
      <c r="Q121" s="1377"/>
      <c r="R121" s="1377"/>
      <c r="S121" s="1409"/>
      <c r="T121" s="1377"/>
      <c r="U121" s="1377"/>
      <c r="V121" s="1377"/>
      <c r="W121" s="1377"/>
      <c r="X121" s="1377"/>
      <c r="Y121" s="1377"/>
      <c r="Z121" s="664"/>
      <c r="AA121" s="665"/>
      <c r="AB121" s="108" t="s">
        <v>952</v>
      </c>
      <c r="AC121" s="669"/>
      <c r="AD121" s="669"/>
      <c r="AE121" s="671"/>
      <c r="AF121" s="1408"/>
      <c r="AG121" s="1403"/>
      <c r="AH121" s="1403"/>
      <c r="AI121" s="1408"/>
      <c r="AJ121" s="1403"/>
      <c r="AK121" s="1403"/>
      <c r="AL121" s="703"/>
      <c r="AM121" s="35"/>
      <c r="AN121" s="35"/>
      <c r="AO121" s="35"/>
      <c r="AP121" s="35"/>
      <c r="AQ121" s="35"/>
      <c r="AR121" s="35"/>
      <c r="AS121" s="35"/>
      <c r="AT121" s="35"/>
      <c r="AU121" s="35"/>
      <c r="AV121" s="35"/>
      <c r="AW121" s="35"/>
      <c r="AX121" s="35"/>
      <c r="AY121" s="35"/>
      <c r="AZ121" s="35"/>
      <c r="BA121" s="35"/>
      <c r="BB121" s="35"/>
      <c r="BC121" s="35"/>
      <c r="BD121" s="35"/>
      <c r="BE121" s="35"/>
      <c r="BF121" s="35"/>
    </row>
    <row r="122" spans="1:58" ht="11.25" customHeight="1">
      <c r="A122" s="301" t="s">
        <v>916</v>
      </c>
      <c r="E122" s="11"/>
      <c r="F122" s="1406"/>
      <c r="G122" s="1421"/>
      <c r="H122" s="1410" t="s">
        <v>88</v>
      </c>
      <c r="I122" s="1411"/>
      <c r="J122" s="1412"/>
      <c r="K122" s="1413"/>
      <c r="L122" s="1127"/>
      <c r="M122" s="1128"/>
      <c r="N122" s="664"/>
      <c r="O122" s="665"/>
      <c r="P122" s="108" t="s">
        <v>953</v>
      </c>
      <c r="Q122" s="665"/>
      <c r="R122" s="665"/>
      <c r="S122" s="665"/>
      <c r="T122" s="665"/>
      <c r="U122" s="665"/>
      <c r="V122" s="665"/>
      <c r="W122" s="665"/>
      <c r="X122" s="665"/>
      <c r="Y122" s="665"/>
      <c r="Z122" s="665"/>
      <c r="AA122" s="665"/>
      <c r="AB122" s="665"/>
      <c r="AC122" s="665"/>
      <c r="AD122" s="665"/>
      <c r="AE122" s="672"/>
      <c r="AF122" s="1408"/>
      <c r="AG122" s="1403"/>
      <c r="AH122" s="1403"/>
      <c r="AI122" s="1408"/>
      <c r="AJ122" s="1403"/>
      <c r="AK122" s="1403"/>
      <c r="AL122" s="703"/>
      <c r="AM122" s="35"/>
      <c r="AN122" s="35"/>
      <c r="AO122" s="35"/>
      <c r="AP122" s="35"/>
      <c r="AQ122" s="35"/>
      <c r="AR122" s="35"/>
      <c r="AS122" s="35"/>
      <c r="AT122" s="35"/>
      <c r="AU122" s="35"/>
      <c r="AV122" s="35"/>
      <c r="AW122" s="35"/>
      <c r="AX122" s="35"/>
      <c r="AY122" s="35"/>
      <c r="AZ122" s="35"/>
      <c r="BA122" s="35"/>
      <c r="BB122" s="35"/>
      <c r="BC122" s="35"/>
      <c r="BD122" s="35"/>
      <c r="BE122" s="35"/>
      <c r="BF122" s="35"/>
    </row>
    <row r="123" spans="1:58" ht="11.25" customHeight="1">
      <c r="A123" s="301" t="s">
        <v>916</v>
      </c>
      <c r="E123" s="11"/>
      <c r="F123" s="1406"/>
      <c r="G123" s="1395" t="s">
        <v>117</v>
      </c>
      <c r="H123" s="1410" t="s">
        <v>108</v>
      </c>
      <c r="I123" s="1411"/>
      <c r="J123" s="1412"/>
      <c r="K123" s="1413" t="s">
        <v>974</v>
      </c>
      <c r="L123" s="1127" t="s">
        <v>52</v>
      </c>
      <c r="M123" s="1128"/>
      <c r="N123" s="1046"/>
      <c r="O123" s="666" t="s">
        <v>375</v>
      </c>
      <c r="P123" s="667"/>
      <c r="Q123" s="667"/>
      <c r="R123" s="667"/>
      <c r="S123" s="667"/>
      <c r="T123" s="667"/>
      <c r="U123" s="667"/>
      <c r="V123" s="667"/>
      <c r="W123" s="667"/>
      <c r="X123" s="667"/>
      <c r="Y123" s="667"/>
      <c r="Z123" s="667"/>
      <c r="AA123" s="667"/>
      <c r="AB123" s="667"/>
      <c r="AC123" s="667"/>
      <c r="AD123" s="667"/>
      <c r="AE123" s="667"/>
      <c r="AF123" s="1408">
        <v>2024</v>
      </c>
      <c r="AG123" s="1403" t="s">
        <v>949</v>
      </c>
      <c r="AH123" s="1403" t="s">
        <v>965</v>
      </c>
      <c r="AI123" s="1408">
        <v>2024</v>
      </c>
      <c r="AJ123" s="1403" t="s">
        <v>949</v>
      </c>
      <c r="AK123" s="1403" t="s">
        <v>965</v>
      </c>
      <c r="AL123" s="703"/>
      <c r="AM123" s="35"/>
      <c r="AN123" s="35"/>
      <c r="AO123" s="35"/>
      <c r="AP123" s="35"/>
      <c r="AQ123" s="35"/>
      <c r="AR123" s="35"/>
      <c r="AS123" s="35"/>
      <c r="AT123" s="35"/>
      <c r="AU123" s="35"/>
      <c r="AV123" s="35"/>
      <c r="AW123" s="35"/>
      <c r="AX123" s="35"/>
      <c r="AY123" s="35"/>
      <c r="AZ123" s="35"/>
      <c r="BA123" s="35"/>
      <c r="BB123" s="35"/>
      <c r="BC123" s="35"/>
      <c r="BD123" s="35"/>
      <c r="BE123" s="35"/>
      <c r="BF123" s="35"/>
    </row>
    <row r="124" spans="1:58" ht="11.25" customHeight="1">
      <c r="A124" s="301" t="s">
        <v>916</v>
      </c>
      <c r="E124" s="11"/>
      <c r="F124" s="1406"/>
      <c r="G124" s="1421"/>
      <c r="H124" s="1410" t="s">
        <v>89</v>
      </c>
      <c r="I124" s="1411"/>
      <c r="J124" s="1412"/>
      <c r="K124" s="1413"/>
      <c r="L124" s="1127"/>
      <c r="M124" s="1128"/>
      <c r="N124" s="1423"/>
      <c r="O124" s="1424">
        <v>1</v>
      </c>
      <c r="P124" s="1416" t="s">
        <v>52</v>
      </c>
      <c r="Q124" s="1377" t="s">
        <v>18</v>
      </c>
      <c r="R124" s="1377" t="s">
        <v>18</v>
      </c>
      <c r="S124" s="1377" t="s">
        <v>18</v>
      </c>
      <c r="T124" s="1377" t="s">
        <v>18</v>
      </c>
      <c r="U124" s="1377" t="s">
        <v>18</v>
      </c>
      <c r="V124" s="1377" t="s">
        <v>18</v>
      </c>
      <c r="W124" s="1377" t="s">
        <v>18</v>
      </c>
      <c r="X124" s="1377" t="s">
        <v>18</v>
      </c>
      <c r="Y124" s="1377"/>
      <c r="Z124" s="664"/>
      <c r="AA124" s="665"/>
      <c r="AB124" s="665"/>
      <c r="AC124" s="669"/>
      <c r="AD124" s="669"/>
      <c r="AE124" s="670"/>
      <c r="AF124" s="1408"/>
      <c r="AG124" s="1403"/>
      <c r="AH124" s="1403"/>
      <c r="AI124" s="1408"/>
      <c r="AJ124" s="1403"/>
      <c r="AK124" s="1403"/>
      <c r="AL124" s="703"/>
      <c r="AM124" s="35"/>
      <c r="AN124" s="35"/>
      <c r="AO124" s="35"/>
      <c r="AP124" s="35"/>
      <c r="AQ124" s="35"/>
      <c r="AR124" s="35"/>
      <c r="AS124" s="35"/>
      <c r="AT124" s="35"/>
      <c r="AU124" s="35"/>
      <c r="AV124" s="35"/>
      <c r="AW124" s="35"/>
      <c r="AX124" s="35"/>
      <c r="AY124" s="35"/>
      <c r="AZ124" s="35"/>
      <c r="BA124" s="35"/>
      <c r="BB124" s="35"/>
      <c r="BC124" s="35"/>
      <c r="BD124" s="35"/>
      <c r="BE124" s="35"/>
      <c r="BF124" s="35"/>
    </row>
    <row r="125" spans="1:58" ht="11.25" customHeight="1">
      <c r="A125" s="301" t="s">
        <v>916</v>
      </c>
      <c r="E125" s="11"/>
      <c r="F125" s="1406"/>
      <c r="G125" s="1421"/>
      <c r="H125" s="1410" t="s">
        <v>89</v>
      </c>
      <c r="I125" s="1411"/>
      <c r="J125" s="1412"/>
      <c r="K125" s="1413"/>
      <c r="L125" s="1127"/>
      <c r="M125" s="1128"/>
      <c r="N125" s="1423"/>
      <c r="O125" s="1424"/>
      <c r="P125" s="1417"/>
      <c r="Q125" s="1377"/>
      <c r="R125" s="1377"/>
      <c r="S125" s="1409"/>
      <c r="T125" s="1377"/>
      <c r="U125" s="1377"/>
      <c r="V125" s="1377"/>
      <c r="W125" s="1377"/>
      <c r="X125" s="1377"/>
      <c r="Y125" s="1377"/>
      <c r="Z125" s="978"/>
      <c r="AA125" s="969">
        <v>1</v>
      </c>
      <c r="AB125" s="668" t="s">
        <v>951</v>
      </c>
      <c r="AC125" s="371">
        <v>1035.42</v>
      </c>
      <c r="AD125" s="668" t="str">
        <f>AB125</f>
        <v xml:space="preserve">      Прочие амортизационные отчисления</v>
      </c>
      <c r="AE125" s="371">
        <v>0</v>
      </c>
      <c r="AF125" s="1408"/>
      <c r="AG125" s="1403"/>
      <c r="AH125" s="1403"/>
      <c r="AI125" s="1408"/>
      <c r="AJ125" s="1403"/>
      <c r="AK125" s="1403"/>
      <c r="AL125" s="703"/>
      <c r="AM125" s="35"/>
      <c r="AN125" s="35"/>
      <c r="AO125" s="35"/>
      <c r="AP125" s="35"/>
      <c r="AQ125" s="35"/>
      <c r="AR125" s="35"/>
      <c r="AS125" s="35"/>
      <c r="AT125" s="35"/>
      <c r="AU125" s="35"/>
      <c r="AV125" s="35"/>
      <c r="AW125" s="35"/>
      <c r="AX125" s="35"/>
      <c r="AY125" s="35"/>
      <c r="AZ125" s="35"/>
      <c r="BA125" s="35"/>
      <c r="BB125" s="35"/>
      <c r="BC125" s="35"/>
      <c r="BD125" s="35"/>
      <c r="BE125" s="35"/>
      <c r="BF125" s="35"/>
    </row>
    <row r="126" spans="1:58" ht="11.25" customHeight="1">
      <c r="A126" s="301" t="s">
        <v>916</v>
      </c>
      <c r="E126" s="11"/>
      <c r="F126" s="1421"/>
      <c r="G126" s="1421"/>
      <c r="H126" s="1421"/>
      <c r="I126" s="1421"/>
      <c r="J126" s="1421"/>
      <c r="K126" s="1421"/>
      <c r="L126" s="1421"/>
      <c r="M126" s="1421"/>
      <c r="N126" s="1421"/>
      <c r="O126" s="1421"/>
      <c r="P126" s="1421"/>
      <c r="Q126" s="1421"/>
      <c r="R126" s="1421"/>
      <c r="S126" s="1421"/>
      <c r="T126" s="1421"/>
      <c r="U126" s="1421"/>
      <c r="V126" s="1421"/>
      <c r="W126" s="1421"/>
      <c r="X126" s="1421"/>
      <c r="Y126" s="1421"/>
      <c r="Z126" s="86" t="s">
        <v>117</v>
      </c>
      <c r="AA126" s="973" t="s">
        <v>106</v>
      </c>
      <c r="AB126" s="668" t="s">
        <v>966</v>
      </c>
      <c r="AC126" s="371">
        <v>14776.42</v>
      </c>
      <c r="AD126" s="668" t="str">
        <f>AB126</f>
        <v xml:space="preserve">  Прибыль направляемая на инвестиции</v>
      </c>
      <c r="AE126" s="371">
        <v>0</v>
      </c>
      <c r="AF126" s="1422"/>
      <c r="AG126" s="1419"/>
      <c r="AH126" s="1419"/>
      <c r="AI126" s="1422"/>
      <c r="AJ126" s="1419"/>
      <c r="AK126" s="1420"/>
      <c r="AL126" s="703"/>
      <c r="AM126" s="35"/>
      <c r="AN126" s="35"/>
      <c r="AO126" s="35"/>
      <c r="AP126" s="35"/>
      <c r="AQ126" s="35"/>
      <c r="AR126" s="35"/>
      <c r="AS126" s="35"/>
      <c r="AT126" s="35"/>
      <c r="AU126" s="35"/>
      <c r="AV126" s="35"/>
      <c r="AW126" s="35"/>
      <c r="AX126" s="35"/>
      <c r="AY126" s="35"/>
      <c r="AZ126" s="35"/>
      <c r="BA126" s="35"/>
      <c r="BB126" s="35"/>
      <c r="BC126" s="35"/>
      <c r="BD126" s="35"/>
      <c r="BE126" s="35"/>
      <c r="BF126" s="35"/>
    </row>
    <row r="127" spans="1:58" ht="11.25" customHeight="1">
      <c r="A127" s="301" t="s">
        <v>916</v>
      </c>
      <c r="E127" s="11"/>
      <c r="F127" s="1406"/>
      <c r="G127" s="1421"/>
      <c r="H127" s="1410" t="s">
        <v>89</v>
      </c>
      <c r="I127" s="1411"/>
      <c r="J127" s="1412"/>
      <c r="K127" s="1413"/>
      <c r="L127" s="1127"/>
      <c r="M127" s="1128"/>
      <c r="N127" s="1423"/>
      <c r="O127" s="1424"/>
      <c r="P127" s="1418"/>
      <c r="Q127" s="1377"/>
      <c r="R127" s="1377"/>
      <c r="S127" s="1409"/>
      <c r="T127" s="1377"/>
      <c r="U127" s="1377"/>
      <c r="V127" s="1377"/>
      <c r="W127" s="1377"/>
      <c r="X127" s="1377"/>
      <c r="Y127" s="1377"/>
      <c r="Z127" s="664"/>
      <c r="AA127" s="665"/>
      <c r="AB127" s="108" t="s">
        <v>952</v>
      </c>
      <c r="AC127" s="669"/>
      <c r="AD127" s="669"/>
      <c r="AE127" s="671"/>
      <c r="AF127" s="1408"/>
      <c r="AG127" s="1403"/>
      <c r="AH127" s="1403"/>
      <c r="AI127" s="1408"/>
      <c r="AJ127" s="1403"/>
      <c r="AK127" s="1403"/>
      <c r="AL127" s="703"/>
      <c r="AM127" s="35"/>
      <c r="AN127" s="35"/>
      <c r="AO127" s="35"/>
      <c r="AP127" s="35"/>
      <c r="AQ127" s="35"/>
      <c r="AR127" s="35"/>
      <c r="AS127" s="35"/>
      <c r="AT127" s="35"/>
      <c r="AU127" s="35"/>
      <c r="AV127" s="35"/>
      <c r="AW127" s="35"/>
      <c r="AX127" s="35"/>
      <c r="AY127" s="35"/>
      <c r="AZ127" s="35"/>
      <c r="BA127" s="35"/>
      <c r="BB127" s="35"/>
      <c r="BC127" s="35"/>
      <c r="BD127" s="35"/>
      <c r="BE127" s="35"/>
      <c r="BF127" s="35"/>
    </row>
    <row r="128" spans="1:58" ht="11.25" customHeight="1">
      <c r="A128" s="301" t="s">
        <v>916</v>
      </c>
      <c r="E128" s="11"/>
      <c r="F128" s="1406"/>
      <c r="G128" s="1421"/>
      <c r="H128" s="1410" t="s">
        <v>89</v>
      </c>
      <c r="I128" s="1411"/>
      <c r="J128" s="1412"/>
      <c r="K128" s="1413"/>
      <c r="L128" s="1127"/>
      <c r="M128" s="1128"/>
      <c r="N128" s="664"/>
      <c r="O128" s="665"/>
      <c r="P128" s="108" t="s">
        <v>953</v>
      </c>
      <c r="Q128" s="665"/>
      <c r="R128" s="665"/>
      <c r="S128" s="665"/>
      <c r="T128" s="665"/>
      <c r="U128" s="665"/>
      <c r="V128" s="665"/>
      <c r="W128" s="665"/>
      <c r="X128" s="665"/>
      <c r="Y128" s="665"/>
      <c r="Z128" s="665"/>
      <c r="AA128" s="665"/>
      <c r="AB128" s="665"/>
      <c r="AC128" s="665"/>
      <c r="AD128" s="665"/>
      <c r="AE128" s="672"/>
      <c r="AF128" s="1408"/>
      <c r="AG128" s="1403"/>
      <c r="AH128" s="1403"/>
      <c r="AI128" s="1408"/>
      <c r="AJ128" s="1403"/>
      <c r="AK128" s="1403"/>
      <c r="AL128" s="703"/>
      <c r="AM128" s="35"/>
      <c r="AN128" s="35"/>
      <c r="AO128" s="35"/>
      <c r="AP128" s="35"/>
      <c r="AQ128" s="35"/>
      <c r="AR128" s="35"/>
      <c r="AS128" s="35"/>
      <c r="AT128" s="35"/>
      <c r="AU128" s="35"/>
      <c r="AV128" s="35"/>
      <c r="AW128" s="35"/>
      <c r="AX128" s="35"/>
      <c r="AY128" s="35"/>
      <c r="AZ128" s="35"/>
      <c r="BA128" s="35"/>
      <c r="BB128" s="35"/>
      <c r="BC128" s="35"/>
      <c r="BD128" s="35"/>
      <c r="BE128" s="35"/>
      <c r="BF128" s="35"/>
    </row>
    <row r="129" spans="1:58" ht="11.25" customHeight="1">
      <c r="A129" s="301" t="s">
        <v>916</v>
      </c>
      <c r="E129" s="11"/>
      <c r="F129" s="1406"/>
      <c r="G129" s="1395" t="s">
        <v>117</v>
      </c>
      <c r="H129" s="1410" t="s">
        <v>149</v>
      </c>
      <c r="I129" s="1411"/>
      <c r="J129" s="1412"/>
      <c r="K129" s="1413" t="s">
        <v>975</v>
      </c>
      <c r="L129" s="1127" t="s">
        <v>52</v>
      </c>
      <c r="M129" s="1128"/>
      <c r="N129" s="1046"/>
      <c r="O129" s="666" t="s">
        <v>375</v>
      </c>
      <c r="P129" s="667"/>
      <c r="Q129" s="667"/>
      <c r="R129" s="667"/>
      <c r="S129" s="667"/>
      <c r="T129" s="667"/>
      <c r="U129" s="667"/>
      <c r="V129" s="667"/>
      <c r="W129" s="667"/>
      <c r="X129" s="667"/>
      <c r="Y129" s="667"/>
      <c r="Z129" s="667"/>
      <c r="AA129" s="667"/>
      <c r="AB129" s="667"/>
      <c r="AC129" s="667"/>
      <c r="AD129" s="667"/>
      <c r="AE129" s="667"/>
      <c r="AF129" s="1408">
        <v>2024</v>
      </c>
      <c r="AG129" s="1403" t="s">
        <v>949</v>
      </c>
      <c r="AH129" s="1403" t="s">
        <v>965</v>
      </c>
      <c r="AI129" s="1408">
        <v>2024</v>
      </c>
      <c r="AJ129" s="1403" t="s">
        <v>949</v>
      </c>
      <c r="AK129" s="1403" t="s">
        <v>965</v>
      </c>
      <c r="AL129" s="703"/>
      <c r="AM129" s="35"/>
      <c r="AN129" s="35"/>
      <c r="AO129" s="35"/>
      <c r="AP129" s="35"/>
      <c r="AQ129" s="35"/>
      <c r="AR129" s="35"/>
      <c r="AS129" s="35"/>
      <c r="AT129" s="35"/>
      <c r="AU129" s="35"/>
      <c r="AV129" s="35"/>
      <c r="AW129" s="35"/>
      <c r="AX129" s="35"/>
      <c r="AY129" s="35"/>
      <c r="AZ129" s="35"/>
      <c r="BA129" s="35"/>
      <c r="BB129" s="35"/>
      <c r="BC129" s="35"/>
      <c r="BD129" s="35"/>
      <c r="BE129" s="35"/>
      <c r="BF129" s="35"/>
    </row>
    <row r="130" spans="1:58" ht="11.25" customHeight="1">
      <c r="A130" s="301" t="s">
        <v>916</v>
      </c>
      <c r="E130" s="11"/>
      <c r="F130" s="1406"/>
      <c r="G130" s="1421"/>
      <c r="H130" s="1410" t="s">
        <v>108</v>
      </c>
      <c r="I130" s="1411"/>
      <c r="J130" s="1412"/>
      <c r="K130" s="1413"/>
      <c r="L130" s="1127"/>
      <c r="M130" s="1128"/>
      <c r="N130" s="1423"/>
      <c r="O130" s="1424">
        <v>1</v>
      </c>
      <c r="P130" s="1416" t="s">
        <v>52</v>
      </c>
      <c r="Q130" s="1377" t="s">
        <v>18</v>
      </c>
      <c r="R130" s="1377" t="s">
        <v>18</v>
      </c>
      <c r="S130" s="1377" t="s">
        <v>18</v>
      </c>
      <c r="T130" s="1377" t="s">
        <v>18</v>
      </c>
      <c r="U130" s="1377" t="s">
        <v>18</v>
      </c>
      <c r="V130" s="1377" t="s">
        <v>18</v>
      </c>
      <c r="W130" s="1377" t="s">
        <v>18</v>
      </c>
      <c r="X130" s="1377" t="s">
        <v>18</v>
      </c>
      <c r="Y130" s="1377"/>
      <c r="Z130" s="664"/>
      <c r="AA130" s="665"/>
      <c r="AB130" s="665"/>
      <c r="AC130" s="669"/>
      <c r="AD130" s="669"/>
      <c r="AE130" s="670"/>
      <c r="AF130" s="1408"/>
      <c r="AG130" s="1403"/>
      <c r="AH130" s="1403"/>
      <c r="AI130" s="1408"/>
      <c r="AJ130" s="1403"/>
      <c r="AK130" s="1403"/>
      <c r="AL130" s="703"/>
      <c r="AM130" s="35"/>
      <c r="AN130" s="35"/>
      <c r="AO130" s="35"/>
      <c r="AP130" s="35"/>
      <c r="AQ130" s="35"/>
      <c r="AR130" s="35"/>
      <c r="AS130" s="35"/>
      <c r="AT130" s="35"/>
      <c r="AU130" s="35"/>
      <c r="AV130" s="35"/>
      <c r="AW130" s="35"/>
      <c r="AX130" s="35"/>
      <c r="AY130" s="35"/>
      <c r="AZ130" s="35"/>
      <c r="BA130" s="35"/>
      <c r="BB130" s="35"/>
      <c r="BC130" s="35"/>
      <c r="BD130" s="35"/>
      <c r="BE130" s="35"/>
      <c r="BF130" s="35"/>
    </row>
    <row r="131" spans="1:58" ht="11.25" customHeight="1">
      <c r="A131" s="301" t="s">
        <v>916</v>
      </c>
      <c r="E131" s="11"/>
      <c r="F131" s="1406"/>
      <c r="G131" s="1421"/>
      <c r="H131" s="1410" t="s">
        <v>108</v>
      </c>
      <c r="I131" s="1411"/>
      <c r="J131" s="1412"/>
      <c r="K131" s="1413"/>
      <c r="L131" s="1127"/>
      <c r="M131" s="1128"/>
      <c r="N131" s="1423"/>
      <c r="O131" s="1424"/>
      <c r="P131" s="1417"/>
      <c r="Q131" s="1377"/>
      <c r="R131" s="1377"/>
      <c r="S131" s="1409"/>
      <c r="T131" s="1377"/>
      <c r="U131" s="1377"/>
      <c r="V131" s="1377"/>
      <c r="W131" s="1377"/>
      <c r="X131" s="1377"/>
      <c r="Y131" s="1377"/>
      <c r="Z131" s="978"/>
      <c r="AA131" s="969">
        <v>1</v>
      </c>
      <c r="AB131" s="668" t="s">
        <v>951</v>
      </c>
      <c r="AC131" s="371">
        <v>6036.71</v>
      </c>
      <c r="AD131" s="668" t="str">
        <f>AB131</f>
        <v xml:space="preserve">      Прочие амортизационные отчисления</v>
      </c>
      <c r="AE131" s="371">
        <v>0</v>
      </c>
      <c r="AF131" s="1408"/>
      <c r="AG131" s="1403"/>
      <c r="AH131" s="1403"/>
      <c r="AI131" s="1408"/>
      <c r="AJ131" s="1403"/>
      <c r="AK131" s="1403"/>
      <c r="AL131" s="703"/>
      <c r="AM131" s="35"/>
      <c r="AN131" s="35"/>
      <c r="AO131" s="35"/>
      <c r="AP131" s="35"/>
      <c r="AQ131" s="35"/>
      <c r="AR131" s="35"/>
      <c r="AS131" s="35"/>
      <c r="AT131" s="35"/>
      <c r="AU131" s="35"/>
      <c r="AV131" s="35"/>
      <c r="AW131" s="35"/>
      <c r="AX131" s="35"/>
      <c r="AY131" s="35"/>
      <c r="AZ131" s="35"/>
      <c r="BA131" s="35"/>
      <c r="BB131" s="35"/>
      <c r="BC131" s="35"/>
      <c r="BD131" s="35"/>
      <c r="BE131" s="35"/>
      <c r="BF131" s="35"/>
    </row>
    <row r="132" spans="1:58" ht="11.25" customHeight="1">
      <c r="A132" s="301" t="s">
        <v>916</v>
      </c>
      <c r="E132" s="11"/>
      <c r="F132" s="1421"/>
      <c r="G132" s="1421"/>
      <c r="H132" s="1421"/>
      <c r="I132" s="1421"/>
      <c r="J132" s="1421"/>
      <c r="K132" s="1421"/>
      <c r="L132" s="1421"/>
      <c r="M132" s="1421"/>
      <c r="N132" s="1421"/>
      <c r="O132" s="1421"/>
      <c r="P132" s="1421"/>
      <c r="Q132" s="1421"/>
      <c r="R132" s="1421"/>
      <c r="S132" s="1421"/>
      <c r="T132" s="1421"/>
      <c r="U132" s="1421"/>
      <c r="V132" s="1421"/>
      <c r="W132" s="1421"/>
      <c r="X132" s="1421"/>
      <c r="Y132" s="1421"/>
      <c r="Z132" s="86" t="s">
        <v>117</v>
      </c>
      <c r="AA132" s="973" t="s">
        <v>106</v>
      </c>
      <c r="AB132" s="668" t="s">
        <v>966</v>
      </c>
      <c r="AC132" s="371">
        <v>5761.41</v>
      </c>
      <c r="AD132" s="668" t="str">
        <f>AB132</f>
        <v xml:space="preserve">  Прибыль направляемая на инвестиции</v>
      </c>
      <c r="AE132" s="371">
        <v>0</v>
      </c>
      <c r="AF132" s="1422"/>
      <c r="AG132" s="1419"/>
      <c r="AH132" s="1419"/>
      <c r="AI132" s="1422"/>
      <c r="AJ132" s="1419"/>
      <c r="AK132" s="1420"/>
      <c r="AL132" s="703"/>
      <c r="AM132" s="35"/>
      <c r="AN132" s="35"/>
      <c r="AO132" s="35"/>
      <c r="AP132" s="35"/>
      <c r="AQ132" s="35"/>
      <c r="AR132" s="35"/>
      <c r="AS132" s="35"/>
      <c r="AT132" s="35"/>
      <c r="AU132" s="35"/>
      <c r="AV132" s="35"/>
      <c r="AW132" s="35"/>
      <c r="AX132" s="35"/>
      <c r="AY132" s="35"/>
      <c r="AZ132" s="35"/>
      <c r="BA132" s="35"/>
      <c r="BB132" s="35"/>
      <c r="BC132" s="35"/>
      <c r="BD132" s="35"/>
      <c r="BE132" s="35"/>
      <c r="BF132" s="35"/>
    </row>
    <row r="133" spans="1:58" ht="11.25" customHeight="1">
      <c r="A133" s="301" t="s">
        <v>916</v>
      </c>
      <c r="E133" s="11"/>
      <c r="F133" s="1406"/>
      <c r="G133" s="1421"/>
      <c r="H133" s="1410" t="s">
        <v>108</v>
      </c>
      <c r="I133" s="1411"/>
      <c r="J133" s="1412"/>
      <c r="K133" s="1413"/>
      <c r="L133" s="1127"/>
      <c r="M133" s="1128"/>
      <c r="N133" s="1423"/>
      <c r="O133" s="1424"/>
      <c r="P133" s="1418"/>
      <c r="Q133" s="1377"/>
      <c r="R133" s="1377"/>
      <c r="S133" s="1409"/>
      <c r="T133" s="1377"/>
      <c r="U133" s="1377"/>
      <c r="V133" s="1377"/>
      <c r="W133" s="1377"/>
      <c r="X133" s="1377"/>
      <c r="Y133" s="1377"/>
      <c r="Z133" s="664"/>
      <c r="AA133" s="665"/>
      <c r="AB133" s="108" t="s">
        <v>952</v>
      </c>
      <c r="AC133" s="669"/>
      <c r="AD133" s="669"/>
      <c r="AE133" s="671"/>
      <c r="AF133" s="1408"/>
      <c r="AG133" s="1403"/>
      <c r="AH133" s="1403"/>
      <c r="AI133" s="1408"/>
      <c r="AJ133" s="1403"/>
      <c r="AK133" s="1403"/>
      <c r="AL133" s="703"/>
      <c r="AM133" s="35"/>
      <c r="AN133" s="35"/>
      <c r="AO133" s="35"/>
      <c r="AP133" s="35"/>
      <c r="AQ133" s="35"/>
      <c r="AR133" s="35"/>
      <c r="AS133" s="35"/>
      <c r="AT133" s="35"/>
      <c r="AU133" s="35"/>
      <c r="AV133" s="35"/>
      <c r="AW133" s="35"/>
      <c r="AX133" s="35"/>
      <c r="AY133" s="35"/>
      <c r="AZ133" s="35"/>
      <c r="BA133" s="35"/>
      <c r="BB133" s="35"/>
      <c r="BC133" s="35"/>
      <c r="BD133" s="35"/>
      <c r="BE133" s="35"/>
      <c r="BF133" s="35"/>
    </row>
    <row r="134" spans="1:58" ht="11.25" customHeight="1">
      <c r="A134" s="301" t="s">
        <v>916</v>
      </c>
      <c r="E134" s="11"/>
      <c r="F134" s="1406"/>
      <c r="G134" s="1421"/>
      <c r="H134" s="1410" t="s">
        <v>108</v>
      </c>
      <c r="I134" s="1411"/>
      <c r="J134" s="1412"/>
      <c r="K134" s="1413"/>
      <c r="L134" s="1127"/>
      <c r="M134" s="1128"/>
      <c r="N134" s="664"/>
      <c r="O134" s="665"/>
      <c r="P134" s="108" t="s">
        <v>953</v>
      </c>
      <c r="Q134" s="665"/>
      <c r="R134" s="665"/>
      <c r="S134" s="665"/>
      <c r="T134" s="665"/>
      <c r="U134" s="665"/>
      <c r="V134" s="665"/>
      <c r="W134" s="665"/>
      <c r="X134" s="665"/>
      <c r="Y134" s="665"/>
      <c r="Z134" s="665"/>
      <c r="AA134" s="665"/>
      <c r="AB134" s="665"/>
      <c r="AC134" s="665"/>
      <c r="AD134" s="665"/>
      <c r="AE134" s="672"/>
      <c r="AF134" s="1408"/>
      <c r="AG134" s="1403"/>
      <c r="AH134" s="1403"/>
      <c r="AI134" s="1408"/>
      <c r="AJ134" s="1403"/>
      <c r="AK134" s="1403"/>
      <c r="AL134" s="703"/>
      <c r="AM134" s="35"/>
      <c r="AN134" s="35"/>
      <c r="AO134" s="35"/>
      <c r="AP134" s="35"/>
      <c r="AQ134" s="35"/>
      <c r="AR134" s="35"/>
      <c r="AS134" s="35"/>
      <c r="AT134" s="35"/>
      <c r="AU134" s="35"/>
      <c r="AV134" s="35"/>
      <c r="AW134" s="35"/>
      <c r="AX134" s="35"/>
      <c r="AY134" s="35"/>
      <c r="AZ134" s="35"/>
      <c r="BA134" s="35"/>
      <c r="BB134" s="35"/>
      <c r="BC134" s="35"/>
      <c r="BD134" s="35"/>
      <c r="BE134" s="35"/>
      <c r="BF134" s="35"/>
    </row>
    <row r="135" spans="1:58" ht="11.25" customHeight="1">
      <c r="A135" s="301" t="s">
        <v>916</v>
      </c>
      <c r="E135" s="11"/>
      <c r="F135" s="1406"/>
      <c r="G135" s="1395" t="s">
        <v>117</v>
      </c>
      <c r="H135" s="1410" t="s">
        <v>150</v>
      </c>
      <c r="I135" s="1411"/>
      <c r="J135" s="1412"/>
      <c r="K135" s="1413" t="s">
        <v>976</v>
      </c>
      <c r="L135" s="1127" t="s">
        <v>52</v>
      </c>
      <c r="M135" s="1128"/>
      <c r="N135" s="1046"/>
      <c r="O135" s="666" t="s">
        <v>375</v>
      </c>
      <c r="P135" s="667"/>
      <c r="Q135" s="667"/>
      <c r="R135" s="667"/>
      <c r="S135" s="667"/>
      <c r="T135" s="667"/>
      <c r="U135" s="667"/>
      <c r="V135" s="667"/>
      <c r="W135" s="667"/>
      <c r="X135" s="667"/>
      <c r="Y135" s="667"/>
      <c r="Z135" s="667"/>
      <c r="AA135" s="667"/>
      <c r="AB135" s="667"/>
      <c r="AC135" s="667"/>
      <c r="AD135" s="667"/>
      <c r="AE135" s="667"/>
      <c r="AF135" s="1408">
        <v>2024</v>
      </c>
      <c r="AG135" s="1403" t="s">
        <v>949</v>
      </c>
      <c r="AH135" s="1403" t="s">
        <v>965</v>
      </c>
      <c r="AI135" s="1408">
        <v>2024</v>
      </c>
      <c r="AJ135" s="1403" t="s">
        <v>949</v>
      </c>
      <c r="AK135" s="1403" t="s">
        <v>965</v>
      </c>
      <c r="AL135" s="703"/>
      <c r="AM135" s="35"/>
      <c r="AN135" s="35"/>
      <c r="AO135" s="35"/>
      <c r="AP135" s="35"/>
      <c r="AQ135" s="35"/>
      <c r="AR135" s="35"/>
      <c r="AS135" s="35"/>
      <c r="AT135" s="35"/>
      <c r="AU135" s="35"/>
      <c r="AV135" s="35"/>
      <c r="AW135" s="35"/>
      <c r="AX135" s="35"/>
      <c r="AY135" s="35"/>
      <c r="AZ135" s="35"/>
      <c r="BA135" s="35"/>
      <c r="BB135" s="35"/>
      <c r="BC135" s="35"/>
      <c r="BD135" s="35"/>
      <c r="BE135" s="35"/>
      <c r="BF135" s="35"/>
    </row>
    <row r="136" spans="1:58" ht="11.25" customHeight="1">
      <c r="A136" s="301" t="s">
        <v>916</v>
      </c>
      <c r="E136" s="11"/>
      <c r="F136" s="1406"/>
      <c r="G136" s="1421"/>
      <c r="H136" s="1410" t="s">
        <v>149</v>
      </c>
      <c r="I136" s="1411"/>
      <c r="J136" s="1412"/>
      <c r="K136" s="1413"/>
      <c r="L136" s="1127"/>
      <c r="M136" s="1128"/>
      <c r="N136" s="1423"/>
      <c r="O136" s="1424">
        <v>1</v>
      </c>
      <c r="P136" s="1416" t="s">
        <v>52</v>
      </c>
      <c r="Q136" s="1377" t="s">
        <v>18</v>
      </c>
      <c r="R136" s="1377" t="s">
        <v>18</v>
      </c>
      <c r="S136" s="1377" t="s">
        <v>18</v>
      </c>
      <c r="T136" s="1377" t="s">
        <v>18</v>
      </c>
      <c r="U136" s="1377" t="s">
        <v>18</v>
      </c>
      <c r="V136" s="1377" t="s">
        <v>18</v>
      </c>
      <c r="W136" s="1377" t="s">
        <v>18</v>
      </c>
      <c r="X136" s="1377" t="s">
        <v>18</v>
      </c>
      <c r="Y136" s="1377"/>
      <c r="Z136" s="664"/>
      <c r="AA136" s="665"/>
      <c r="AB136" s="665"/>
      <c r="AC136" s="669"/>
      <c r="AD136" s="669"/>
      <c r="AE136" s="670"/>
      <c r="AF136" s="1408"/>
      <c r="AG136" s="1403"/>
      <c r="AH136" s="1403"/>
      <c r="AI136" s="1408"/>
      <c r="AJ136" s="1403"/>
      <c r="AK136" s="1403"/>
      <c r="AL136" s="703"/>
      <c r="AM136" s="35"/>
      <c r="AN136" s="35"/>
      <c r="AO136" s="35"/>
      <c r="AP136" s="35"/>
      <c r="AQ136" s="35"/>
      <c r="AR136" s="35"/>
      <c r="AS136" s="35"/>
      <c r="AT136" s="35"/>
      <c r="AU136" s="35"/>
      <c r="AV136" s="35"/>
      <c r="AW136" s="35"/>
      <c r="AX136" s="35"/>
      <c r="AY136" s="35"/>
      <c r="AZ136" s="35"/>
      <c r="BA136" s="35"/>
      <c r="BB136" s="35"/>
      <c r="BC136" s="35"/>
      <c r="BD136" s="35"/>
      <c r="BE136" s="35"/>
      <c r="BF136" s="35"/>
    </row>
    <row r="137" spans="1:58" ht="11.25" customHeight="1">
      <c r="A137" s="301" t="s">
        <v>916</v>
      </c>
      <c r="E137" s="11"/>
      <c r="F137" s="1406"/>
      <c r="G137" s="1421"/>
      <c r="H137" s="1410" t="s">
        <v>149</v>
      </c>
      <c r="I137" s="1411"/>
      <c r="J137" s="1412"/>
      <c r="K137" s="1413"/>
      <c r="L137" s="1127"/>
      <c r="M137" s="1128"/>
      <c r="N137" s="1423"/>
      <c r="O137" s="1424"/>
      <c r="P137" s="1417"/>
      <c r="Q137" s="1377"/>
      <c r="R137" s="1377"/>
      <c r="S137" s="1409"/>
      <c r="T137" s="1377"/>
      <c r="U137" s="1377"/>
      <c r="V137" s="1377"/>
      <c r="W137" s="1377"/>
      <c r="X137" s="1377"/>
      <c r="Y137" s="1377"/>
      <c r="Z137" s="978"/>
      <c r="AA137" s="969">
        <v>1</v>
      </c>
      <c r="AB137" s="668" t="s">
        <v>951</v>
      </c>
      <c r="AC137" s="371">
        <v>580.39</v>
      </c>
      <c r="AD137" s="668" t="str">
        <f>AB137</f>
        <v xml:space="preserve">      Прочие амортизационные отчисления</v>
      </c>
      <c r="AE137" s="371">
        <v>0</v>
      </c>
      <c r="AF137" s="1408"/>
      <c r="AG137" s="1403"/>
      <c r="AH137" s="1403"/>
      <c r="AI137" s="1408"/>
      <c r="AJ137" s="1403"/>
      <c r="AK137" s="1403"/>
      <c r="AL137" s="703"/>
      <c r="AM137" s="35"/>
      <c r="AN137" s="35"/>
      <c r="AO137" s="35"/>
      <c r="AP137" s="35"/>
      <c r="AQ137" s="35"/>
      <c r="AR137" s="35"/>
      <c r="AS137" s="35"/>
      <c r="AT137" s="35"/>
      <c r="AU137" s="35"/>
      <c r="AV137" s="35"/>
      <c r="AW137" s="35"/>
      <c r="AX137" s="35"/>
      <c r="AY137" s="35"/>
      <c r="AZ137" s="35"/>
      <c r="BA137" s="35"/>
      <c r="BB137" s="35"/>
      <c r="BC137" s="35"/>
      <c r="BD137" s="35"/>
      <c r="BE137" s="35"/>
      <c r="BF137" s="35"/>
    </row>
    <row r="138" spans="1:58" ht="11.25" customHeight="1">
      <c r="A138" s="301" t="s">
        <v>916</v>
      </c>
      <c r="E138" s="11"/>
      <c r="F138" s="1406"/>
      <c r="G138" s="1421"/>
      <c r="H138" s="1410" t="s">
        <v>149</v>
      </c>
      <c r="I138" s="1411"/>
      <c r="J138" s="1412"/>
      <c r="K138" s="1413"/>
      <c r="L138" s="1127"/>
      <c r="M138" s="1128"/>
      <c r="N138" s="1423"/>
      <c r="O138" s="1424"/>
      <c r="P138" s="1418"/>
      <c r="Q138" s="1377"/>
      <c r="R138" s="1377"/>
      <c r="S138" s="1409"/>
      <c r="T138" s="1377"/>
      <c r="U138" s="1377"/>
      <c r="V138" s="1377"/>
      <c r="W138" s="1377"/>
      <c r="X138" s="1377"/>
      <c r="Y138" s="1377"/>
      <c r="Z138" s="664"/>
      <c r="AA138" s="665"/>
      <c r="AB138" s="108" t="s">
        <v>952</v>
      </c>
      <c r="AC138" s="669"/>
      <c r="AD138" s="669"/>
      <c r="AE138" s="671"/>
      <c r="AF138" s="1408"/>
      <c r="AG138" s="1403"/>
      <c r="AH138" s="1403"/>
      <c r="AI138" s="1408"/>
      <c r="AJ138" s="1403"/>
      <c r="AK138" s="1403"/>
      <c r="AL138" s="703"/>
      <c r="AM138" s="35"/>
      <c r="AN138" s="35"/>
      <c r="AO138" s="35"/>
      <c r="AP138" s="35"/>
      <c r="AQ138" s="35"/>
      <c r="AR138" s="35"/>
      <c r="AS138" s="35"/>
      <c r="AT138" s="35"/>
      <c r="AU138" s="35"/>
      <c r="AV138" s="35"/>
      <c r="AW138" s="35"/>
      <c r="AX138" s="35"/>
      <c r="AY138" s="35"/>
      <c r="AZ138" s="35"/>
      <c r="BA138" s="35"/>
      <c r="BB138" s="35"/>
      <c r="BC138" s="35"/>
      <c r="BD138" s="35"/>
      <c r="BE138" s="35"/>
      <c r="BF138" s="35"/>
    </row>
    <row r="139" spans="1:58" ht="11.25" customHeight="1">
      <c r="A139" s="301" t="s">
        <v>916</v>
      </c>
      <c r="E139" s="11"/>
      <c r="F139" s="1406"/>
      <c r="G139" s="1421"/>
      <c r="H139" s="1410" t="s">
        <v>149</v>
      </c>
      <c r="I139" s="1411"/>
      <c r="J139" s="1412"/>
      <c r="K139" s="1413"/>
      <c r="L139" s="1127"/>
      <c r="M139" s="1128"/>
      <c r="N139" s="664"/>
      <c r="O139" s="665"/>
      <c r="P139" s="108" t="s">
        <v>953</v>
      </c>
      <c r="Q139" s="665"/>
      <c r="R139" s="665"/>
      <c r="S139" s="665"/>
      <c r="T139" s="665"/>
      <c r="U139" s="665"/>
      <c r="V139" s="665"/>
      <c r="W139" s="665"/>
      <c r="X139" s="665"/>
      <c r="Y139" s="665"/>
      <c r="Z139" s="665"/>
      <c r="AA139" s="665"/>
      <c r="AB139" s="665"/>
      <c r="AC139" s="665"/>
      <c r="AD139" s="665"/>
      <c r="AE139" s="672"/>
      <c r="AF139" s="1408"/>
      <c r="AG139" s="1403"/>
      <c r="AH139" s="1403"/>
      <c r="AI139" s="1408"/>
      <c r="AJ139" s="1403"/>
      <c r="AK139" s="1403"/>
      <c r="AL139" s="703"/>
      <c r="AM139" s="35"/>
      <c r="AN139" s="35"/>
      <c r="AO139" s="35"/>
      <c r="AP139" s="35"/>
      <c r="AQ139" s="35"/>
      <c r="AR139" s="35"/>
      <c r="AS139" s="35"/>
      <c r="AT139" s="35"/>
      <c r="AU139" s="35"/>
      <c r="AV139" s="35"/>
      <c r="AW139" s="35"/>
      <c r="AX139" s="35"/>
      <c r="AY139" s="35"/>
      <c r="AZ139" s="35"/>
      <c r="BA139" s="35"/>
      <c r="BB139" s="35"/>
      <c r="BC139" s="35"/>
      <c r="BD139" s="35"/>
      <c r="BE139" s="35"/>
      <c r="BF139" s="35"/>
    </row>
    <row r="140" spans="1:58" ht="11.25" customHeight="1">
      <c r="A140" s="301" t="s">
        <v>916</v>
      </c>
      <c r="E140" s="11"/>
      <c r="F140" s="1406"/>
      <c r="G140" s="1395" t="s">
        <v>117</v>
      </c>
      <c r="H140" s="1410" t="s">
        <v>151</v>
      </c>
      <c r="I140" s="1411"/>
      <c r="J140" s="1412"/>
      <c r="K140" s="1413" t="s">
        <v>977</v>
      </c>
      <c r="L140" s="1127" t="s">
        <v>52</v>
      </c>
      <c r="M140" s="1128"/>
      <c r="N140" s="1046"/>
      <c r="O140" s="666" t="s">
        <v>375</v>
      </c>
      <c r="P140" s="667"/>
      <c r="Q140" s="667"/>
      <c r="R140" s="667"/>
      <c r="S140" s="667"/>
      <c r="T140" s="667"/>
      <c r="U140" s="667"/>
      <c r="V140" s="667"/>
      <c r="W140" s="667"/>
      <c r="X140" s="667"/>
      <c r="Y140" s="667"/>
      <c r="Z140" s="667"/>
      <c r="AA140" s="667"/>
      <c r="AB140" s="667"/>
      <c r="AC140" s="667"/>
      <c r="AD140" s="667"/>
      <c r="AE140" s="667"/>
      <c r="AF140" s="1408">
        <v>2024</v>
      </c>
      <c r="AG140" s="1403" t="s">
        <v>978</v>
      </c>
      <c r="AH140" s="1403" t="s">
        <v>965</v>
      </c>
      <c r="AI140" s="1408">
        <v>2024</v>
      </c>
      <c r="AJ140" s="1403" t="s">
        <v>978</v>
      </c>
      <c r="AK140" s="1403" t="s">
        <v>965</v>
      </c>
      <c r="AL140" s="703"/>
      <c r="AM140" s="35"/>
      <c r="AN140" s="35"/>
      <c r="AO140" s="35"/>
      <c r="AP140" s="35"/>
      <c r="AQ140" s="35"/>
      <c r="AR140" s="35"/>
      <c r="AS140" s="35"/>
      <c r="AT140" s="35"/>
      <c r="AU140" s="35"/>
      <c r="AV140" s="35"/>
      <c r="AW140" s="35"/>
      <c r="AX140" s="35"/>
      <c r="AY140" s="35"/>
      <c r="AZ140" s="35"/>
      <c r="BA140" s="35"/>
      <c r="BB140" s="35"/>
      <c r="BC140" s="35"/>
      <c r="BD140" s="35"/>
      <c r="BE140" s="35"/>
      <c r="BF140" s="35"/>
    </row>
    <row r="141" spans="1:58" ht="11.25" customHeight="1">
      <c r="A141" s="301" t="s">
        <v>916</v>
      </c>
      <c r="E141" s="11"/>
      <c r="F141" s="1406"/>
      <c r="G141" s="1421"/>
      <c r="H141" s="1410" t="s">
        <v>150</v>
      </c>
      <c r="I141" s="1411"/>
      <c r="J141" s="1412"/>
      <c r="K141" s="1413"/>
      <c r="L141" s="1127"/>
      <c r="M141" s="1128"/>
      <c r="N141" s="1423"/>
      <c r="O141" s="1424">
        <v>1</v>
      </c>
      <c r="P141" s="1416" t="s">
        <v>52</v>
      </c>
      <c r="Q141" s="1377" t="s">
        <v>18</v>
      </c>
      <c r="R141" s="1377" t="s">
        <v>18</v>
      </c>
      <c r="S141" s="1377" t="s">
        <v>18</v>
      </c>
      <c r="T141" s="1377" t="s">
        <v>18</v>
      </c>
      <c r="U141" s="1377" t="s">
        <v>18</v>
      </c>
      <c r="V141" s="1377" t="s">
        <v>18</v>
      </c>
      <c r="W141" s="1377" t="s">
        <v>18</v>
      </c>
      <c r="X141" s="1377" t="s">
        <v>18</v>
      </c>
      <c r="Y141" s="1377"/>
      <c r="Z141" s="664"/>
      <c r="AA141" s="665"/>
      <c r="AB141" s="665"/>
      <c r="AC141" s="669"/>
      <c r="AD141" s="669"/>
      <c r="AE141" s="670"/>
      <c r="AF141" s="1408"/>
      <c r="AG141" s="1403"/>
      <c r="AH141" s="1403"/>
      <c r="AI141" s="1408"/>
      <c r="AJ141" s="1403"/>
      <c r="AK141" s="1403"/>
      <c r="AL141" s="703"/>
      <c r="AM141" s="35"/>
      <c r="AN141" s="35"/>
      <c r="AO141" s="35"/>
      <c r="AP141" s="35"/>
      <c r="AQ141" s="35"/>
      <c r="AR141" s="35"/>
      <c r="AS141" s="35"/>
      <c r="AT141" s="35"/>
      <c r="AU141" s="35"/>
      <c r="AV141" s="35"/>
      <c r="AW141" s="35"/>
      <c r="AX141" s="35"/>
      <c r="AY141" s="35"/>
      <c r="AZ141" s="35"/>
      <c r="BA141" s="35"/>
      <c r="BB141" s="35"/>
      <c r="BC141" s="35"/>
      <c r="BD141" s="35"/>
      <c r="BE141" s="35"/>
      <c r="BF141" s="35"/>
    </row>
    <row r="142" spans="1:58" ht="11.25" customHeight="1">
      <c r="A142" s="301" t="s">
        <v>916</v>
      </c>
      <c r="E142" s="11"/>
      <c r="F142" s="1406"/>
      <c r="G142" s="1421"/>
      <c r="H142" s="1410" t="s">
        <v>150</v>
      </c>
      <c r="I142" s="1411"/>
      <c r="J142" s="1412"/>
      <c r="K142" s="1413"/>
      <c r="L142" s="1127"/>
      <c r="M142" s="1128"/>
      <c r="N142" s="1423"/>
      <c r="O142" s="1424"/>
      <c r="P142" s="1417"/>
      <c r="Q142" s="1377"/>
      <c r="R142" s="1377"/>
      <c r="S142" s="1409"/>
      <c r="T142" s="1377"/>
      <c r="U142" s="1377"/>
      <c r="V142" s="1377"/>
      <c r="W142" s="1377"/>
      <c r="X142" s="1377"/>
      <c r="Y142" s="1377"/>
      <c r="Z142" s="978"/>
      <c r="AA142" s="969">
        <v>1</v>
      </c>
      <c r="AB142" s="668" t="s">
        <v>951</v>
      </c>
      <c r="AC142" s="371">
        <v>3614.3</v>
      </c>
      <c r="AD142" s="668" t="str">
        <f>AB142</f>
        <v xml:space="preserve">      Прочие амортизационные отчисления</v>
      </c>
      <c r="AE142" s="371">
        <v>0</v>
      </c>
      <c r="AF142" s="1408"/>
      <c r="AG142" s="1403"/>
      <c r="AH142" s="1403"/>
      <c r="AI142" s="1408"/>
      <c r="AJ142" s="1403"/>
      <c r="AK142" s="1403"/>
      <c r="AL142" s="703"/>
      <c r="AM142" s="35"/>
      <c r="AN142" s="35"/>
      <c r="AO142" s="35"/>
      <c r="AP142" s="35"/>
      <c r="AQ142" s="35"/>
      <c r="AR142" s="35"/>
      <c r="AS142" s="35"/>
      <c r="AT142" s="35"/>
      <c r="AU142" s="35"/>
      <c r="AV142" s="35"/>
      <c r="AW142" s="35"/>
      <c r="AX142" s="35"/>
      <c r="AY142" s="35"/>
      <c r="AZ142" s="35"/>
      <c r="BA142" s="35"/>
      <c r="BB142" s="35"/>
      <c r="BC142" s="35"/>
      <c r="BD142" s="35"/>
      <c r="BE142" s="35"/>
      <c r="BF142" s="35"/>
    </row>
    <row r="143" spans="1:58" ht="11.25" customHeight="1">
      <c r="A143" s="301" t="s">
        <v>916</v>
      </c>
      <c r="E143" s="11"/>
      <c r="F143" s="1406"/>
      <c r="G143" s="1421"/>
      <c r="H143" s="1410" t="s">
        <v>150</v>
      </c>
      <c r="I143" s="1411"/>
      <c r="J143" s="1412"/>
      <c r="K143" s="1413"/>
      <c r="L143" s="1127"/>
      <c r="M143" s="1128"/>
      <c r="N143" s="1423"/>
      <c r="O143" s="1424"/>
      <c r="P143" s="1418"/>
      <c r="Q143" s="1377"/>
      <c r="R143" s="1377"/>
      <c r="S143" s="1409"/>
      <c r="T143" s="1377"/>
      <c r="U143" s="1377"/>
      <c r="V143" s="1377"/>
      <c r="W143" s="1377"/>
      <c r="X143" s="1377"/>
      <c r="Y143" s="1377"/>
      <c r="Z143" s="664"/>
      <c r="AA143" s="665"/>
      <c r="AB143" s="108" t="s">
        <v>952</v>
      </c>
      <c r="AC143" s="669"/>
      <c r="AD143" s="669"/>
      <c r="AE143" s="671"/>
      <c r="AF143" s="1408"/>
      <c r="AG143" s="1403"/>
      <c r="AH143" s="1403"/>
      <c r="AI143" s="1408"/>
      <c r="AJ143" s="1403"/>
      <c r="AK143" s="1403"/>
      <c r="AL143" s="703"/>
      <c r="AM143" s="35"/>
      <c r="AN143" s="35"/>
      <c r="AO143" s="35"/>
      <c r="AP143" s="35"/>
      <c r="AQ143" s="35"/>
      <c r="AR143" s="35"/>
      <c r="AS143" s="35"/>
      <c r="AT143" s="35"/>
      <c r="AU143" s="35"/>
      <c r="AV143" s="35"/>
      <c r="AW143" s="35"/>
      <c r="AX143" s="35"/>
      <c r="AY143" s="35"/>
      <c r="AZ143" s="35"/>
      <c r="BA143" s="35"/>
      <c r="BB143" s="35"/>
      <c r="BC143" s="35"/>
      <c r="BD143" s="35"/>
      <c r="BE143" s="35"/>
      <c r="BF143" s="35"/>
    </row>
    <row r="144" spans="1:58" ht="11.25" customHeight="1">
      <c r="A144" s="301" t="s">
        <v>916</v>
      </c>
      <c r="E144" s="11"/>
      <c r="F144" s="1406"/>
      <c r="G144" s="1421"/>
      <c r="H144" s="1410" t="s">
        <v>150</v>
      </c>
      <c r="I144" s="1411"/>
      <c r="J144" s="1412"/>
      <c r="K144" s="1413"/>
      <c r="L144" s="1127"/>
      <c r="M144" s="1128"/>
      <c r="N144" s="664"/>
      <c r="O144" s="665"/>
      <c r="P144" s="108" t="s">
        <v>953</v>
      </c>
      <c r="Q144" s="665"/>
      <c r="R144" s="665"/>
      <c r="S144" s="665"/>
      <c r="T144" s="665"/>
      <c r="U144" s="665"/>
      <c r="V144" s="665"/>
      <c r="W144" s="665"/>
      <c r="X144" s="665"/>
      <c r="Y144" s="665"/>
      <c r="Z144" s="665"/>
      <c r="AA144" s="665"/>
      <c r="AB144" s="665"/>
      <c r="AC144" s="665"/>
      <c r="AD144" s="665"/>
      <c r="AE144" s="672"/>
      <c r="AF144" s="1408"/>
      <c r="AG144" s="1403"/>
      <c r="AH144" s="1403"/>
      <c r="AI144" s="1408"/>
      <c r="AJ144" s="1403"/>
      <c r="AK144" s="1403"/>
      <c r="AL144" s="703"/>
      <c r="AM144" s="35"/>
      <c r="AN144" s="35"/>
      <c r="AO144" s="35"/>
      <c r="AP144" s="35"/>
      <c r="AQ144" s="35"/>
      <c r="AR144" s="35"/>
      <c r="AS144" s="35"/>
      <c r="AT144" s="35"/>
      <c r="AU144" s="35"/>
      <c r="AV144" s="35"/>
      <c r="AW144" s="35"/>
      <c r="AX144" s="35"/>
      <c r="AY144" s="35"/>
      <c r="AZ144" s="35"/>
      <c r="BA144" s="35"/>
      <c r="BB144" s="35"/>
      <c r="BC144" s="35"/>
      <c r="BD144" s="35"/>
      <c r="BE144" s="35"/>
      <c r="BF144" s="35"/>
    </row>
    <row r="145" spans="1:58" ht="11.25" customHeight="1">
      <c r="A145" s="301" t="s">
        <v>916</v>
      </c>
      <c r="E145" s="11"/>
      <c r="F145" s="1406"/>
      <c r="G145" s="1395" t="s">
        <v>117</v>
      </c>
      <c r="H145" s="1410" t="s">
        <v>152</v>
      </c>
      <c r="I145" s="1411"/>
      <c r="J145" s="1412"/>
      <c r="K145" s="1413" t="s">
        <v>979</v>
      </c>
      <c r="L145" s="1127" t="s">
        <v>52</v>
      </c>
      <c r="M145" s="1128"/>
      <c r="N145" s="1046"/>
      <c r="O145" s="666" t="s">
        <v>375</v>
      </c>
      <c r="P145" s="667"/>
      <c r="Q145" s="667"/>
      <c r="R145" s="667"/>
      <c r="S145" s="667"/>
      <c r="T145" s="667"/>
      <c r="U145" s="667"/>
      <c r="V145" s="667"/>
      <c r="W145" s="667"/>
      <c r="X145" s="667"/>
      <c r="Y145" s="667"/>
      <c r="Z145" s="667"/>
      <c r="AA145" s="667"/>
      <c r="AB145" s="667"/>
      <c r="AC145" s="667"/>
      <c r="AD145" s="667"/>
      <c r="AE145" s="667"/>
      <c r="AF145" s="1408">
        <v>2026</v>
      </c>
      <c r="AG145" s="1403" t="s">
        <v>980</v>
      </c>
      <c r="AH145" s="1403" t="s">
        <v>965</v>
      </c>
      <c r="AI145" s="1408">
        <v>2026</v>
      </c>
      <c r="AJ145" s="1403" t="s">
        <v>980</v>
      </c>
      <c r="AK145" s="1403" t="s">
        <v>965</v>
      </c>
      <c r="AL145" s="703"/>
      <c r="AM145" s="35"/>
      <c r="AN145" s="35"/>
      <c r="AO145" s="35"/>
      <c r="AP145" s="35"/>
      <c r="AQ145" s="35"/>
      <c r="AR145" s="35"/>
      <c r="AS145" s="35"/>
      <c r="AT145" s="35"/>
      <c r="AU145" s="35"/>
      <c r="AV145" s="35"/>
      <c r="AW145" s="35"/>
      <c r="AX145" s="35"/>
      <c r="AY145" s="35"/>
      <c r="AZ145" s="35"/>
      <c r="BA145" s="35"/>
      <c r="BB145" s="35"/>
      <c r="BC145" s="35"/>
      <c r="BD145" s="35"/>
      <c r="BE145" s="35"/>
      <c r="BF145" s="35"/>
    </row>
    <row r="146" spans="1:58" ht="11.25" customHeight="1">
      <c r="A146" s="301" t="s">
        <v>916</v>
      </c>
      <c r="E146" s="11"/>
      <c r="F146" s="1406"/>
      <c r="G146" s="1421"/>
      <c r="H146" s="1410" t="s">
        <v>151</v>
      </c>
      <c r="I146" s="1411"/>
      <c r="J146" s="1412"/>
      <c r="K146" s="1413"/>
      <c r="L146" s="1127"/>
      <c r="M146" s="1128"/>
      <c r="N146" s="1423"/>
      <c r="O146" s="1424">
        <v>1</v>
      </c>
      <c r="P146" s="1416" t="s">
        <v>52</v>
      </c>
      <c r="Q146" s="1377" t="s">
        <v>18</v>
      </c>
      <c r="R146" s="1377" t="s">
        <v>18</v>
      </c>
      <c r="S146" s="1377" t="s">
        <v>18</v>
      </c>
      <c r="T146" s="1377" t="s">
        <v>18</v>
      </c>
      <c r="U146" s="1377" t="s">
        <v>18</v>
      </c>
      <c r="V146" s="1377" t="s">
        <v>18</v>
      </c>
      <c r="W146" s="1377" t="s">
        <v>18</v>
      </c>
      <c r="X146" s="1377" t="s">
        <v>18</v>
      </c>
      <c r="Y146" s="1377"/>
      <c r="Z146" s="664"/>
      <c r="AA146" s="665"/>
      <c r="AB146" s="665"/>
      <c r="AC146" s="669"/>
      <c r="AD146" s="669"/>
      <c r="AE146" s="670"/>
      <c r="AF146" s="1408"/>
      <c r="AG146" s="1403"/>
      <c r="AH146" s="1403"/>
      <c r="AI146" s="1408"/>
      <c r="AJ146" s="1403"/>
      <c r="AK146" s="1403"/>
      <c r="AL146" s="703"/>
      <c r="AM146" s="35"/>
      <c r="AN146" s="35"/>
      <c r="AO146" s="35"/>
      <c r="AP146" s="35"/>
      <c r="AQ146" s="35"/>
      <c r="AR146" s="35"/>
      <c r="AS146" s="35"/>
      <c r="AT146" s="35"/>
      <c r="AU146" s="35"/>
      <c r="AV146" s="35"/>
      <c r="AW146" s="35"/>
      <c r="AX146" s="35"/>
      <c r="AY146" s="35"/>
      <c r="AZ146" s="35"/>
      <c r="BA146" s="35"/>
      <c r="BB146" s="35"/>
      <c r="BC146" s="35"/>
      <c r="BD146" s="35"/>
      <c r="BE146" s="35"/>
      <c r="BF146" s="35"/>
    </row>
    <row r="147" spans="1:58" ht="11.25" customHeight="1">
      <c r="A147" s="301" t="s">
        <v>916</v>
      </c>
      <c r="E147" s="11"/>
      <c r="F147" s="1406"/>
      <c r="G147" s="1421"/>
      <c r="H147" s="1410" t="s">
        <v>151</v>
      </c>
      <c r="I147" s="1411"/>
      <c r="J147" s="1412"/>
      <c r="K147" s="1413"/>
      <c r="L147" s="1127"/>
      <c r="M147" s="1128"/>
      <c r="N147" s="1423"/>
      <c r="O147" s="1424"/>
      <c r="P147" s="1417"/>
      <c r="Q147" s="1377"/>
      <c r="R147" s="1377"/>
      <c r="S147" s="1409"/>
      <c r="T147" s="1377"/>
      <c r="U147" s="1377"/>
      <c r="V147" s="1377"/>
      <c r="W147" s="1377"/>
      <c r="X147" s="1377"/>
      <c r="Y147" s="1377"/>
      <c r="Z147" s="978"/>
      <c r="AA147" s="969">
        <v>1</v>
      </c>
      <c r="AB147" s="668" t="s">
        <v>951</v>
      </c>
      <c r="AC147" s="371">
        <v>3300</v>
      </c>
      <c r="AD147" s="668" t="str">
        <f>AB147</f>
        <v xml:space="preserve">      Прочие амортизационные отчисления</v>
      </c>
      <c r="AE147" s="371">
        <v>0</v>
      </c>
      <c r="AF147" s="1408"/>
      <c r="AG147" s="1403"/>
      <c r="AH147" s="1403"/>
      <c r="AI147" s="1408"/>
      <c r="AJ147" s="1403"/>
      <c r="AK147" s="1403"/>
      <c r="AL147" s="703"/>
      <c r="AM147" s="35"/>
      <c r="AN147" s="35"/>
      <c r="AO147" s="35"/>
      <c r="AP147" s="35"/>
      <c r="AQ147" s="35"/>
      <c r="AR147" s="35"/>
      <c r="AS147" s="35"/>
      <c r="AT147" s="35"/>
      <c r="AU147" s="35"/>
      <c r="AV147" s="35"/>
      <c r="AW147" s="35"/>
      <c r="AX147" s="35"/>
      <c r="AY147" s="35"/>
      <c r="AZ147" s="35"/>
      <c r="BA147" s="35"/>
      <c r="BB147" s="35"/>
      <c r="BC147" s="35"/>
      <c r="BD147" s="35"/>
      <c r="BE147" s="35"/>
      <c r="BF147" s="35"/>
    </row>
    <row r="148" spans="1:58" ht="11.25" customHeight="1">
      <c r="A148" s="301" t="s">
        <v>916</v>
      </c>
      <c r="E148" s="11"/>
      <c r="F148" s="1406"/>
      <c r="G148" s="1421"/>
      <c r="H148" s="1410" t="s">
        <v>151</v>
      </c>
      <c r="I148" s="1411"/>
      <c r="J148" s="1412"/>
      <c r="K148" s="1413"/>
      <c r="L148" s="1127"/>
      <c r="M148" s="1128"/>
      <c r="N148" s="1423"/>
      <c r="O148" s="1424"/>
      <c r="P148" s="1418"/>
      <c r="Q148" s="1377"/>
      <c r="R148" s="1377"/>
      <c r="S148" s="1409"/>
      <c r="T148" s="1377"/>
      <c r="U148" s="1377"/>
      <c r="V148" s="1377"/>
      <c r="W148" s="1377"/>
      <c r="X148" s="1377"/>
      <c r="Y148" s="1377"/>
      <c r="Z148" s="664"/>
      <c r="AA148" s="665"/>
      <c r="AB148" s="108" t="s">
        <v>952</v>
      </c>
      <c r="AC148" s="669"/>
      <c r="AD148" s="669"/>
      <c r="AE148" s="671"/>
      <c r="AF148" s="1408"/>
      <c r="AG148" s="1403"/>
      <c r="AH148" s="1403"/>
      <c r="AI148" s="1408"/>
      <c r="AJ148" s="1403"/>
      <c r="AK148" s="1403"/>
      <c r="AL148" s="703"/>
      <c r="AM148" s="35"/>
      <c r="AN148" s="35"/>
      <c r="AO148" s="35"/>
      <c r="AP148" s="35"/>
      <c r="AQ148" s="35"/>
      <c r="AR148" s="35"/>
      <c r="AS148" s="35"/>
      <c r="AT148" s="35"/>
      <c r="AU148" s="35"/>
      <c r="AV148" s="35"/>
      <c r="AW148" s="35"/>
      <c r="AX148" s="35"/>
      <c r="AY148" s="35"/>
      <c r="AZ148" s="35"/>
      <c r="BA148" s="35"/>
      <c r="BB148" s="35"/>
      <c r="BC148" s="35"/>
      <c r="BD148" s="35"/>
      <c r="BE148" s="35"/>
      <c r="BF148" s="35"/>
    </row>
    <row r="149" spans="1:58" ht="11.25" customHeight="1">
      <c r="A149" s="301" t="s">
        <v>916</v>
      </c>
      <c r="E149" s="11"/>
      <c r="F149" s="1406"/>
      <c r="G149" s="1421"/>
      <c r="H149" s="1410" t="s">
        <v>151</v>
      </c>
      <c r="I149" s="1411"/>
      <c r="J149" s="1412"/>
      <c r="K149" s="1413"/>
      <c r="L149" s="1127"/>
      <c r="M149" s="1128"/>
      <c r="N149" s="664"/>
      <c r="O149" s="665"/>
      <c r="P149" s="108" t="s">
        <v>953</v>
      </c>
      <c r="Q149" s="665"/>
      <c r="R149" s="665"/>
      <c r="S149" s="665"/>
      <c r="T149" s="665"/>
      <c r="U149" s="665"/>
      <c r="V149" s="665"/>
      <c r="W149" s="665"/>
      <c r="X149" s="665"/>
      <c r="Y149" s="665"/>
      <c r="Z149" s="665"/>
      <c r="AA149" s="665"/>
      <c r="AB149" s="665"/>
      <c r="AC149" s="665"/>
      <c r="AD149" s="665"/>
      <c r="AE149" s="672"/>
      <c r="AF149" s="1408"/>
      <c r="AG149" s="1403"/>
      <c r="AH149" s="1403"/>
      <c r="AI149" s="1408"/>
      <c r="AJ149" s="1403"/>
      <c r="AK149" s="1403"/>
      <c r="AL149" s="703"/>
      <c r="AM149" s="35"/>
      <c r="AN149" s="35"/>
      <c r="AO149" s="35"/>
      <c r="AP149" s="35"/>
      <c r="AQ149" s="35"/>
      <c r="AR149" s="35"/>
      <c r="AS149" s="35"/>
      <c r="AT149" s="35"/>
      <c r="AU149" s="35"/>
      <c r="AV149" s="35"/>
      <c r="AW149" s="35"/>
      <c r="AX149" s="35"/>
      <c r="AY149" s="35"/>
      <c r="AZ149" s="35"/>
      <c r="BA149" s="35"/>
      <c r="BB149" s="35"/>
      <c r="BC149" s="35"/>
      <c r="BD149" s="35"/>
      <c r="BE149" s="35"/>
      <c r="BF149" s="35"/>
    </row>
    <row r="150" spans="1:58" ht="11.25" customHeight="1">
      <c r="A150" s="301" t="s">
        <v>916</v>
      </c>
      <c r="E150" s="11"/>
      <c r="F150" s="1406"/>
      <c r="G150" s="1395" t="s">
        <v>117</v>
      </c>
      <c r="H150" s="1410" t="s">
        <v>153</v>
      </c>
      <c r="I150" s="1411"/>
      <c r="J150" s="1412"/>
      <c r="K150" s="1413" t="s">
        <v>981</v>
      </c>
      <c r="L150" s="1127" t="s">
        <v>52</v>
      </c>
      <c r="M150" s="1128"/>
      <c r="N150" s="1046"/>
      <c r="O150" s="666" t="s">
        <v>375</v>
      </c>
      <c r="P150" s="667"/>
      <c r="Q150" s="667"/>
      <c r="R150" s="667"/>
      <c r="S150" s="667"/>
      <c r="T150" s="667"/>
      <c r="U150" s="667"/>
      <c r="V150" s="667"/>
      <c r="W150" s="667"/>
      <c r="X150" s="667"/>
      <c r="Y150" s="667"/>
      <c r="Z150" s="667"/>
      <c r="AA150" s="667"/>
      <c r="AB150" s="667"/>
      <c r="AC150" s="667"/>
      <c r="AD150" s="667"/>
      <c r="AE150" s="667"/>
      <c r="AF150" s="1408">
        <v>2024</v>
      </c>
      <c r="AG150" s="1403" t="s">
        <v>949</v>
      </c>
      <c r="AH150" s="1403" t="s">
        <v>965</v>
      </c>
      <c r="AI150" s="1408">
        <v>2024</v>
      </c>
      <c r="AJ150" s="1403" t="s">
        <v>949</v>
      </c>
      <c r="AK150" s="1403" t="s">
        <v>965</v>
      </c>
      <c r="AL150" s="703"/>
      <c r="AM150" s="35"/>
      <c r="AN150" s="35"/>
      <c r="AO150" s="35"/>
      <c r="AP150" s="35"/>
      <c r="AQ150" s="35"/>
      <c r="AR150" s="35"/>
      <c r="AS150" s="35"/>
      <c r="AT150" s="35"/>
      <c r="AU150" s="35"/>
      <c r="AV150" s="35"/>
      <c r="AW150" s="35"/>
      <c r="AX150" s="35"/>
      <c r="AY150" s="35"/>
      <c r="AZ150" s="35"/>
      <c r="BA150" s="35"/>
      <c r="BB150" s="35"/>
      <c r="BC150" s="35"/>
      <c r="BD150" s="35"/>
      <c r="BE150" s="35"/>
      <c r="BF150" s="35"/>
    </row>
    <row r="151" spans="1:58" ht="11.25" customHeight="1">
      <c r="A151" s="301" t="s">
        <v>916</v>
      </c>
      <c r="E151" s="11"/>
      <c r="F151" s="1406"/>
      <c r="G151" s="1421"/>
      <c r="H151" s="1410" t="s">
        <v>152</v>
      </c>
      <c r="I151" s="1411"/>
      <c r="J151" s="1412"/>
      <c r="K151" s="1413"/>
      <c r="L151" s="1127"/>
      <c r="M151" s="1128"/>
      <c r="N151" s="1423"/>
      <c r="O151" s="1424">
        <v>1</v>
      </c>
      <c r="P151" s="1416" t="s">
        <v>52</v>
      </c>
      <c r="Q151" s="1377" t="s">
        <v>18</v>
      </c>
      <c r="R151" s="1377" t="s">
        <v>18</v>
      </c>
      <c r="S151" s="1377" t="s">
        <v>18</v>
      </c>
      <c r="T151" s="1377" t="s">
        <v>18</v>
      </c>
      <c r="U151" s="1377" t="s">
        <v>18</v>
      </c>
      <c r="V151" s="1377" t="s">
        <v>18</v>
      </c>
      <c r="W151" s="1377" t="s">
        <v>18</v>
      </c>
      <c r="X151" s="1377" t="s">
        <v>18</v>
      </c>
      <c r="Y151" s="1377"/>
      <c r="Z151" s="664"/>
      <c r="AA151" s="665"/>
      <c r="AB151" s="665"/>
      <c r="AC151" s="669"/>
      <c r="AD151" s="669"/>
      <c r="AE151" s="670"/>
      <c r="AF151" s="1408"/>
      <c r="AG151" s="1403"/>
      <c r="AH151" s="1403"/>
      <c r="AI151" s="1408"/>
      <c r="AJ151" s="1403"/>
      <c r="AK151" s="1403"/>
      <c r="AL151" s="703"/>
      <c r="AM151" s="35"/>
      <c r="AN151" s="35"/>
      <c r="AO151" s="35"/>
      <c r="AP151" s="35"/>
      <c r="AQ151" s="35"/>
      <c r="AR151" s="35"/>
      <c r="AS151" s="35"/>
      <c r="AT151" s="35"/>
      <c r="AU151" s="35"/>
      <c r="AV151" s="35"/>
      <c r="AW151" s="35"/>
      <c r="AX151" s="35"/>
      <c r="AY151" s="35"/>
      <c r="AZ151" s="35"/>
      <c r="BA151" s="35"/>
      <c r="BB151" s="35"/>
      <c r="BC151" s="35"/>
      <c r="BD151" s="35"/>
      <c r="BE151" s="35"/>
      <c r="BF151" s="35"/>
    </row>
    <row r="152" spans="1:58" ht="11.25" customHeight="1">
      <c r="A152" s="301" t="s">
        <v>916</v>
      </c>
      <c r="E152" s="11"/>
      <c r="F152" s="1406"/>
      <c r="G152" s="1421"/>
      <c r="H152" s="1410" t="s">
        <v>152</v>
      </c>
      <c r="I152" s="1411"/>
      <c r="J152" s="1412"/>
      <c r="K152" s="1413"/>
      <c r="L152" s="1127"/>
      <c r="M152" s="1128"/>
      <c r="N152" s="1423"/>
      <c r="O152" s="1424"/>
      <c r="P152" s="1417"/>
      <c r="Q152" s="1377"/>
      <c r="R152" s="1377"/>
      <c r="S152" s="1409"/>
      <c r="T152" s="1377"/>
      <c r="U152" s="1377"/>
      <c r="V152" s="1377"/>
      <c r="W152" s="1377"/>
      <c r="X152" s="1377"/>
      <c r="Y152" s="1377"/>
      <c r="Z152" s="978"/>
      <c r="AA152" s="969">
        <v>1</v>
      </c>
      <c r="AB152" s="668" t="s">
        <v>966</v>
      </c>
      <c r="AC152" s="371">
        <v>9642.5</v>
      </c>
      <c r="AD152" s="668" t="str">
        <f>AB152</f>
        <v xml:space="preserve">  Прибыль направляемая на инвестиции</v>
      </c>
      <c r="AE152" s="371">
        <v>0</v>
      </c>
      <c r="AF152" s="1408"/>
      <c r="AG152" s="1403"/>
      <c r="AH152" s="1403"/>
      <c r="AI152" s="1408"/>
      <c r="AJ152" s="1403"/>
      <c r="AK152" s="1403"/>
      <c r="AL152" s="703"/>
      <c r="AM152" s="35"/>
      <c r="AN152" s="35"/>
      <c r="AO152" s="35"/>
      <c r="AP152" s="35"/>
      <c r="AQ152" s="35"/>
      <c r="AR152" s="35"/>
      <c r="AS152" s="35"/>
      <c r="AT152" s="35"/>
      <c r="AU152" s="35"/>
      <c r="AV152" s="35"/>
      <c r="AW152" s="35"/>
      <c r="AX152" s="35"/>
      <c r="AY152" s="35"/>
      <c r="AZ152" s="35"/>
      <c r="BA152" s="35"/>
      <c r="BB152" s="35"/>
      <c r="BC152" s="35"/>
      <c r="BD152" s="35"/>
      <c r="BE152" s="35"/>
      <c r="BF152" s="35"/>
    </row>
    <row r="153" spans="1:58" ht="11.25" customHeight="1">
      <c r="A153" s="301" t="s">
        <v>916</v>
      </c>
      <c r="E153" s="11"/>
      <c r="F153" s="1406"/>
      <c r="G153" s="1421"/>
      <c r="H153" s="1410" t="s">
        <v>152</v>
      </c>
      <c r="I153" s="1411"/>
      <c r="J153" s="1412"/>
      <c r="K153" s="1413"/>
      <c r="L153" s="1127"/>
      <c r="M153" s="1128"/>
      <c r="N153" s="1423"/>
      <c r="O153" s="1424"/>
      <c r="P153" s="1418"/>
      <c r="Q153" s="1377"/>
      <c r="R153" s="1377"/>
      <c r="S153" s="1409"/>
      <c r="T153" s="1377"/>
      <c r="U153" s="1377"/>
      <c r="V153" s="1377"/>
      <c r="W153" s="1377"/>
      <c r="X153" s="1377"/>
      <c r="Y153" s="1377"/>
      <c r="Z153" s="664"/>
      <c r="AA153" s="665"/>
      <c r="AB153" s="108" t="s">
        <v>952</v>
      </c>
      <c r="AC153" s="669"/>
      <c r="AD153" s="669"/>
      <c r="AE153" s="671"/>
      <c r="AF153" s="1408"/>
      <c r="AG153" s="1403"/>
      <c r="AH153" s="1403"/>
      <c r="AI153" s="1408"/>
      <c r="AJ153" s="1403"/>
      <c r="AK153" s="1403"/>
      <c r="AL153" s="703"/>
      <c r="AM153" s="35"/>
      <c r="AN153" s="35"/>
      <c r="AO153" s="35"/>
      <c r="AP153" s="35"/>
      <c r="AQ153" s="35"/>
      <c r="AR153" s="35"/>
      <c r="AS153" s="35"/>
      <c r="AT153" s="35"/>
      <c r="AU153" s="35"/>
      <c r="AV153" s="35"/>
      <c r="AW153" s="35"/>
      <c r="AX153" s="35"/>
      <c r="AY153" s="35"/>
      <c r="AZ153" s="35"/>
      <c r="BA153" s="35"/>
      <c r="BB153" s="35"/>
      <c r="BC153" s="35"/>
      <c r="BD153" s="35"/>
      <c r="BE153" s="35"/>
      <c r="BF153" s="35"/>
    </row>
    <row r="154" spans="1:58" ht="11.25" customHeight="1">
      <c r="A154" s="301" t="s">
        <v>916</v>
      </c>
      <c r="E154" s="11"/>
      <c r="F154" s="1406"/>
      <c r="G154" s="1421"/>
      <c r="H154" s="1410" t="s">
        <v>152</v>
      </c>
      <c r="I154" s="1411"/>
      <c r="J154" s="1412"/>
      <c r="K154" s="1413"/>
      <c r="L154" s="1127"/>
      <c r="M154" s="1128"/>
      <c r="N154" s="664"/>
      <c r="O154" s="665"/>
      <c r="P154" s="108" t="s">
        <v>953</v>
      </c>
      <c r="Q154" s="665"/>
      <c r="R154" s="665"/>
      <c r="S154" s="665"/>
      <c r="T154" s="665"/>
      <c r="U154" s="665"/>
      <c r="V154" s="665"/>
      <c r="W154" s="665"/>
      <c r="X154" s="665"/>
      <c r="Y154" s="665"/>
      <c r="Z154" s="665"/>
      <c r="AA154" s="665"/>
      <c r="AB154" s="665"/>
      <c r="AC154" s="665"/>
      <c r="AD154" s="665"/>
      <c r="AE154" s="672"/>
      <c r="AF154" s="1408"/>
      <c r="AG154" s="1403"/>
      <c r="AH154" s="1403"/>
      <c r="AI154" s="1408"/>
      <c r="AJ154" s="1403"/>
      <c r="AK154" s="1403"/>
      <c r="AL154" s="703"/>
      <c r="AM154" s="35"/>
      <c r="AN154" s="35"/>
      <c r="AO154" s="35"/>
      <c r="AP154" s="35"/>
      <c r="AQ154" s="35"/>
      <c r="AR154" s="35"/>
      <c r="AS154" s="35"/>
      <c r="AT154" s="35"/>
      <c r="AU154" s="35"/>
      <c r="AV154" s="35"/>
      <c r="AW154" s="35"/>
      <c r="AX154" s="35"/>
      <c r="AY154" s="35"/>
      <c r="AZ154" s="35"/>
      <c r="BA154" s="35"/>
      <c r="BB154" s="35"/>
      <c r="BC154" s="35"/>
      <c r="BD154" s="35"/>
      <c r="BE154" s="35"/>
      <c r="BF154" s="35"/>
    </row>
    <row r="155" spans="1:58" ht="12" customHeight="1">
      <c r="A155" s="301" t="s">
        <v>916</v>
      </c>
      <c r="E155" s="11"/>
      <c r="F155" s="1407"/>
      <c r="G155" s="677"/>
      <c r="H155" s="677"/>
      <c r="I155" s="1404" t="s">
        <v>961</v>
      </c>
      <c r="J155" s="1404"/>
      <c r="K155" s="1404"/>
      <c r="L155" s="662"/>
      <c r="M155" s="662"/>
      <c r="N155" s="663"/>
      <c r="O155" s="663"/>
      <c r="P155" s="663"/>
      <c r="Q155" s="663"/>
      <c r="R155" s="663"/>
      <c r="S155" s="663"/>
      <c r="T155" s="663"/>
      <c r="U155" s="663"/>
      <c r="V155" s="663"/>
      <c r="W155" s="663"/>
      <c r="X155" s="663"/>
      <c r="Y155" s="663"/>
      <c r="Z155" s="663"/>
      <c r="AA155" s="663"/>
      <c r="AB155" s="663"/>
      <c r="AC155" s="663"/>
      <c r="AD155" s="663"/>
      <c r="AE155" s="663"/>
      <c r="AF155" s="663"/>
      <c r="AG155" s="662"/>
      <c r="AH155" s="662"/>
      <c r="AI155" s="663"/>
      <c r="AJ155" s="662"/>
      <c r="AK155" s="663"/>
      <c r="AL155" s="703"/>
      <c r="AM155" s="35"/>
      <c r="AN155" s="35"/>
      <c r="AO155" s="35"/>
      <c r="AP155" s="35"/>
      <c r="AQ155" s="35"/>
      <c r="AR155" s="35"/>
      <c r="AS155" s="35"/>
      <c r="AT155" s="35"/>
      <c r="AU155" s="35"/>
      <c r="AV155" s="35"/>
      <c r="AW155" s="35"/>
      <c r="AX155" s="35"/>
      <c r="AY155" s="35"/>
      <c r="AZ155" s="35"/>
      <c r="BA155" s="35"/>
      <c r="BB155" s="35"/>
      <c r="BC155" s="35"/>
      <c r="BD155" s="35"/>
      <c r="BE155" s="35"/>
      <c r="BF155" s="35"/>
    </row>
    <row r="156" spans="1:58" ht="11.25" customHeight="1">
      <c r="A156" s="301" t="s">
        <v>916</v>
      </c>
      <c r="E156" s="11"/>
      <c r="F156" s="1405">
        <v>2025</v>
      </c>
      <c r="G156" s="1410"/>
      <c r="H156" s="1410" t="s">
        <v>105</v>
      </c>
      <c r="I156" s="1411"/>
      <c r="J156" s="1412"/>
      <c r="K156" s="1413" t="s">
        <v>955</v>
      </c>
      <c r="L156" s="1403" t="s">
        <v>52</v>
      </c>
      <c r="M156" s="1128"/>
      <c r="N156" s="667"/>
      <c r="O156" s="666" t="s">
        <v>375</v>
      </c>
      <c r="P156" s="667"/>
      <c r="Q156" s="667"/>
      <c r="R156" s="667"/>
      <c r="S156" s="667"/>
      <c r="T156" s="667"/>
      <c r="U156" s="667"/>
      <c r="V156" s="667"/>
      <c r="W156" s="667"/>
      <c r="X156" s="667"/>
      <c r="Y156" s="667"/>
      <c r="Z156" s="667"/>
      <c r="AA156" s="667"/>
      <c r="AB156" s="667"/>
      <c r="AC156" s="667"/>
      <c r="AD156" s="667"/>
      <c r="AE156" s="667"/>
      <c r="AF156" s="1408">
        <v>2026</v>
      </c>
      <c r="AG156" s="1403" t="s">
        <v>949</v>
      </c>
      <c r="AH156" s="1403" t="s">
        <v>982</v>
      </c>
      <c r="AI156" s="1408">
        <v>2026</v>
      </c>
      <c r="AJ156" s="1403" t="s">
        <v>949</v>
      </c>
      <c r="AK156" s="1403" t="s">
        <v>982</v>
      </c>
      <c r="AL156" s="703"/>
      <c r="AM156" s="35"/>
      <c r="AN156" s="35"/>
      <c r="AO156" s="35"/>
      <c r="AP156" s="35"/>
      <c r="AQ156" s="35"/>
      <c r="AR156" s="35"/>
      <c r="AS156" s="35"/>
      <c r="AT156" s="35"/>
      <c r="AU156" s="35"/>
      <c r="AV156" s="35"/>
      <c r="AW156" s="35"/>
      <c r="AX156" s="35"/>
      <c r="AY156" s="35"/>
      <c r="AZ156" s="35"/>
      <c r="BA156" s="35"/>
      <c r="BB156" s="35"/>
      <c r="BC156" s="35"/>
      <c r="BD156" s="35"/>
      <c r="BE156" s="35"/>
      <c r="BF156" s="35"/>
    </row>
    <row r="157" spans="1:58" ht="11.25" customHeight="1">
      <c r="A157" s="301" t="s">
        <v>916</v>
      </c>
      <c r="E157" s="11"/>
      <c r="F157" s="1405"/>
      <c r="G157" s="1410"/>
      <c r="H157" s="1410"/>
      <c r="I157" s="1411"/>
      <c r="J157" s="1412"/>
      <c r="K157" s="1413"/>
      <c r="L157" s="1403"/>
      <c r="M157" s="1128"/>
      <c r="N157" s="1414"/>
      <c r="O157" s="1415">
        <v>1</v>
      </c>
      <c r="P157" s="1416" t="s">
        <v>52</v>
      </c>
      <c r="Q157" s="1377" t="s">
        <v>18</v>
      </c>
      <c r="R157" s="1377" t="s">
        <v>18</v>
      </c>
      <c r="S157" s="1377" t="s">
        <v>18</v>
      </c>
      <c r="T157" s="1377" t="s">
        <v>18</v>
      </c>
      <c r="U157" s="1377" t="s">
        <v>18</v>
      </c>
      <c r="V157" s="1377" t="s">
        <v>18</v>
      </c>
      <c r="W157" s="1377" t="s">
        <v>18</v>
      </c>
      <c r="X157" s="1377" t="s">
        <v>18</v>
      </c>
      <c r="Y157" s="1377"/>
      <c r="Z157" s="664"/>
      <c r="AA157" s="665"/>
      <c r="AB157" s="665"/>
      <c r="AC157" s="669"/>
      <c r="AD157" s="669"/>
      <c r="AE157" s="670"/>
      <c r="AF157" s="1408"/>
      <c r="AG157" s="1403"/>
      <c r="AH157" s="1403"/>
      <c r="AI157" s="1408"/>
      <c r="AJ157" s="1403"/>
      <c r="AK157" s="1403"/>
      <c r="AL157" s="703"/>
      <c r="AM157" s="35"/>
      <c r="AN157" s="35"/>
      <c r="AO157" s="35"/>
      <c r="AP157" s="35"/>
      <c r="AQ157" s="35"/>
      <c r="AR157" s="35"/>
      <c r="AS157" s="35"/>
      <c r="AT157" s="35"/>
      <c r="AU157" s="35"/>
      <c r="AV157" s="35"/>
      <c r="AW157" s="35"/>
      <c r="AX157" s="35"/>
      <c r="AY157" s="35"/>
      <c r="AZ157" s="35"/>
      <c r="BA157" s="35"/>
      <c r="BB157" s="35"/>
      <c r="BC157" s="35"/>
      <c r="BD157" s="35"/>
      <c r="BE157" s="35"/>
      <c r="BF157" s="35"/>
    </row>
    <row r="158" spans="1:58" ht="11.25" customHeight="1">
      <c r="A158" s="301" t="s">
        <v>916</v>
      </c>
      <c r="E158" s="11"/>
      <c r="F158" s="1405"/>
      <c r="G158" s="1410"/>
      <c r="H158" s="1410"/>
      <c r="I158" s="1411"/>
      <c r="J158" s="1412"/>
      <c r="K158" s="1413"/>
      <c r="L158" s="1403"/>
      <c r="M158" s="1128"/>
      <c r="N158" s="1414"/>
      <c r="O158" s="1415"/>
      <c r="P158" s="1417"/>
      <c r="Q158" s="1377"/>
      <c r="R158" s="1377"/>
      <c r="S158" s="1409"/>
      <c r="T158" s="1377"/>
      <c r="U158" s="1377"/>
      <c r="V158" s="1377"/>
      <c r="W158" s="1377"/>
      <c r="X158" s="1377"/>
      <c r="Y158" s="1377"/>
      <c r="Z158" s="978"/>
      <c r="AA158" s="969">
        <v>1</v>
      </c>
      <c r="AB158" s="668" t="s">
        <v>951</v>
      </c>
      <c r="AC158" s="371">
        <v>29759.83</v>
      </c>
      <c r="AD158" s="668" t="str">
        <f>AB158</f>
        <v xml:space="preserve">      Прочие амортизационные отчисления</v>
      </c>
      <c r="AE158" s="371">
        <v>0</v>
      </c>
      <c r="AF158" s="1408"/>
      <c r="AG158" s="1403"/>
      <c r="AH158" s="1403"/>
      <c r="AI158" s="1408"/>
      <c r="AJ158" s="1403"/>
      <c r="AK158" s="1403"/>
      <c r="AL158" s="703"/>
      <c r="AM158" s="35"/>
      <c r="AN158" s="35"/>
      <c r="AO158" s="35"/>
      <c r="AP158" s="35"/>
      <c r="AQ158" s="35"/>
      <c r="AR158" s="35"/>
      <c r="AS158" s="35"/>
      <c r="AT158" s="35"/>
      <c r="AU158" s="35"/>
      <c r="AV158" s="35"/>
      <c r="AW158" s="35"/>
      <c r="AX158" s="35"/>
      <c r="AY158" s="35"/>
      <c r="AZ158" s="35"/>
      <c r="BA158" s="35"/>
      <c r="BB158" s="35"/>
      <c r="BC158" s="35"/>
      <c r="BD158" s="35"/>
      <c r="BE158" s="35"/>
      <c r="BF158" s="35"/>
    </row>
    <row r="159" spans="1:58" ht="11.25" customHeight="1">
      <c r="A159" s="301" t="s">
        <v>916</v>
      </c>
      <c r="E159" s="11"/>
      <c r="F159" s="1421"/>
      <c r="G159" s="1421"/>
      <c r="H159" s="1421"/>
      <c r="I159" s="1421"/>
      <c r="J159" s="1421"/>
      <c r="K159" s="1421"/>
      <c r="L159" s="1421"/>
      <c r="M159" s="1421"/>
      <c r="N159" s="1421"/>
      <c r="O159" s="1421"/>
      <c r="P159" s="1421"/>
      <c r="Q159" s="1421"/>
      <c r="R159" s="1421"/>
      <c r="S159" s="1421"/>
      <c r="T159" s="1421"/>
      <c r="U159" s="1421"/>
      <c r="V159" s="1421"/>
      <c r="W159" s="1421"/>
      <c r="X159" s="1421"/>
      <c r="Y159" s="1421"/>
      <c r="Z159" s="86" t="s">
        <v>117</v>
      </c>
      <c r="AA159" s="973" t="s">
        <v>106</v>
      </c>
      <c r="AB159" s="668" t="s">
        <v>967</v>
      </c>
      <c r="AC159" s="371">
        <v>9305.5</v>
      </c>
      <c r="AD159" s="668" t="str">
        <f>AB159</f>
        <v xml:space="preserve">  Прочие собственные средства</v>
      </c>
      <c r="AE159" s="371">
        <v>0</v>
      </c>
      <c r="AF159" s="1422"/>
      <c r="AG159" s="1419"/>
      <c r="AH159" s="1419"/>
      <c r="AI159" s="1422"/>
      <c r="AJ159" s="1419"/>
      <c r="AK159" s="1420"/>
      <c r="AL159" s="703"/>
      <c r="AM159" s="35"/>
      <c r="AN159" s="35"/>
      <c r="AO159" s="35"/>
      <c r="AP159" s="35"/>
      <c r="AQ159" s="35"/>
      <c r="AR159" s="35"/>
      <c r="AS159" s="35"/>
      <c r="AT159" s="35"/>
      <c r="AU159" s="35"/>
      <c r="AV159" s="35"/>
      <c r="AW159" s="35"/>
      <c r="AX159" s="35"/>
      <c r="AY159" s="35"/>
      <c r="AZ159" s="35"/>
      <c r="BA159" s="35"/>
      <c r="BB159" s="35"/>
      <c r="BC159" s="35"/>
      <c r="BD159" s="35"/>
      <c r="BE159" s="35"/>
      <c r="BF159" s="35"/>
    </row>
    <row r="160" spans="1:58" ht="11.25" customHeight="1">
      <c r="A160" s="301" t="s">
        <v>916</v>
      </c>
      <c r="E160" s="11"/>
      <c r="F160" s="1405"/>
      <c r="G160" s="1410"/>
      <c r="H160" s="1410"/>
      <c r="I160" s="1411"/>
      <c r="J160" s="1412"/>
      <c r="K160" s="1413"/>
      <c r="L160" s="1403"/>
      <c r="M160" s="1128"/>
      <c r="N160" s="1414"/>
      <c r="O160" s="1415"/>
      <c r="P160" s="1418"/>
      <c r="Q160" s="1377"/>
      <c r="R160" s="1377"/>
      <c r="S160" s="1409"/>
      <c r="T160" s="1377"/>
      <c r="U160" s="1377"/>
      <c r="V160" s="1377"/>
      <c r="W160" s="1377"/>
      <c r="X160" s="1377"/>
      <c r="Y160" s="1377"/>
      <c r="Z160" s="664"/>
      <c r="AA160" s="665"/>
      <c r="AB160" s="108" t="s">
        <v>952</v>
      </c>
      <c r="AC160" s="669"/>
      <c r="AD160" s="669"/>
      <c r="AE160" s="671"/>
      <c r="AF160" s="1408"/>
      <c r="AG160" s="1403"/>
      <c r="AH160" s="1403"/>
      <c r="AI160" s="1408"/>
      <c r="AJ160" s="1403"/>
      <c r="AK160" s="1403"/>
      <c r="AL160" s="703"/>
      <c r="AM160" s="35"/>
      <c r="AN160" s="35"/>
      <c r="AO160" s="35"/>
      <c r="AP160" s="35"/>
      <c r="AQ160" s="35"/>
      <c r="AR160" s="35"/>
      <c r="AS160" s="35"/>
      <c r="AT160" s="35"/>
      <c r="AU160" s="35"/>
      <c r="AV160" s="35"/>
      <c r="AW160" s="35"/>
      <c r="AX160" s="35"/>
      <c r="AY160" s="35"/>
      <c r="AZ160" s="35"/>
      <c r="BA160" s="35"/>
      <c r="BB160" s="35"/>
      <c r="BC160" s="35"/>
      <c r="BD160" s="35"/>
      <c r="BE160" s="35"/>
      <c r="BF160" s="35"/>
    </row>
    <row r="161" spans="1:58" ht="11.25" customHeight="1">
      <c r="A161" s="301" t="s">
        <v>916</v>
      </c>
      <c r="E161" s="11"/>
      <c r="F161" s="1405"/>
      <c r="G161" s="1410"/>
      <c r="H161" s="1410"/>
      <c r="I161" s="1411"/>
      <c r="J161" s="1412"/>
      <c r="K161" s="1413"/>
      <c r="L161" s="1403"/>
      <c r="M161" s="1128"/>
      <c r="N161" s="665"/>
      <c r="O161" s="665"/>
      <c r="P161" s="108" t="s">
        <v>953</v>
      </c>
      <c r="Q161" s="665"/>
      <c r="R161" s="665"/>
      <c r="S161" s="665"/>
      <c r="T161" s="665"/>
      <c r="U161" s="665"/>
      <c r="V161" s="665"/>
      <c r="W161" s="665"/>
      <c r="X161" s="665"/>
      <c r="Y161" s="665"/>
      <c r="Z161" s="665"/>
      <c r="AA161" s="665"/>
      <c r="AB161" s="665"/>
      <c r="AC161" s="665"/>
      <c r="AD161" s="665"/>
      <c r="AE161" s="672"/>
      <c r="AF161" s="1408"/>
      <c r="AG161" s="1403"/>
      <c r="AH161" s="1403"/>
      <c r="AI161" s="1408"/>
      <c r="AJ161" s="1403"/>
      <c r="AK161" s="1403"/>
      <c r="AL161" s="703"/>
      <c r="AM161" s="35"/>
      <c r="AN161" s="35"/>
      <c r="AO161" s="35"/>
      <c r="AP161" s="35"/>
      <c r="AQ161" s="35"/>
      <c r="AR161" s="35"/>
      <c r="AS161" s="35"/>
      <c r="AT161" s="35"/>
      <c r="AU161" s="35"/>
      <c r="AV161" s="35"/>
      <c r="AW161" s="35"/>
      <c r="AX161" s="35"/>
      <c r="AY161" s="35"/>
      <c r="AZ161" s="35"/>
      <c r="BA161" s="35"/>
      <c r="BB161" s="35"/>
      <c r="BC161" s="35"/>
      <c r="BD161" s="35"/>
      <c r="BE161" s="35"/>
      <c r="BF161" s="35"/>
    </row>
    <row r="162" spans="1:58" ht="11.25" customHeight="1">
      <c r="A162" s="301" t="s">
        <v>916</v>
      </c>
      <c r="E162" s="11"/>
      <c r="F162" s="1406"/>
      <c r="G162" s="1395" t="s">
        <v>117</v>
      </c>
      <c r="H162" s="1410" t="s">
        <v>106</v>
      </c>
      <c r="I162" s="1411"/>
      <c r="J162" s="1412"/>
      <c r="K162" s="1413" t="s">
        <v>983</v>
      </c>
      <c r="L162" s="1127" t="s">
        <v>52</v>
      </c>
      <c r="M162" s="1128"/>
      <c r="N162" s="1046"/>
      <c r="O162" s="666" t="s">
        <v>375</v>
      </c>
      <c r="P162" s="667"/>
      <c r="Q162" s="667"/>
      <c r="R162" s="667"/>
      <c r="S162" s="667"/>
      <c r="T162" s="667"/>
      <c r="U162" s="667"/>
      <c r="V162" s="667"/>
      <c r="W162" s="667"/>
      <c r="X162" s="667"/>
      <c r="Y162" s="667"/>
      <c r="Z162" s="667"/>
      <c r="AA162" s="667"/>
      <c r="AB162" s="667"/>
      <c r="AC162" s="667"/>
      <c r="AD162" s="667"/>
      <c r="AE162" s="667"/>
      <c r="AF162" s="1408">
        <v>2025</v>
      </c>
      <c r="AG162" s="1403" t="s">
        <v>949</v>
      </c>
      <c r="AH162" s="1403" t="s">
        <v>982</v>
      </c>
      <c r="AI162" s="1408">
        <v>2025</v>
      </c>
      <c r="AJ162" s="1403" t="s">
        <v>949</v>
      </c>
      <c r="AK162" s="1403" t="s">
        <v>982</v>
      </c>
      <c r="AL162" s="703"/>
      <c r="AM162" s="35"/>
      <c r="AN162" s="35"/>
      <c r="AO162" s="35"/>
      <c r="AP162" s="35"/>
      <c r="AQ162" s="35"/>
      <c r="AR162" s="35"/>
      <c r="AS162" s="35"/>
      <c r="AT162" s="35"/>
      <c r="AU162" s="35"/>
      <c r="AV162" s="35"/>
      <c r="AW162" s="35"/>
      <c r="AX162" s="35"/>
      <c r="AY162" s="35"/>
      <c r="AZ162" s="35"/>
      <c r="BA162" s="35"/>
      <c r="BB162" s="35"/>
      <c r="BC162" s="35"/>
      <c r="BD162" s="35"/>
      <c r="BE162" s="35"/>
      <c r="BF162" s="35"/>
    </row>
    <row r="163" spans="1:58" ht="11.25" customHeight="1">
      <c r="A163" s="301" t="s">
        <v>916</v>
      </c>
      <c r="E163" s="11"/>
      <c r="F163" s="1406"/>
      <c r="G163" s="1421"/>
      <c r="H163" s="1410" t="s">
        <v>105</v>
      </c>
      <c r="I163" s="1411"/>
      <c r="J163" s="1412"/>
      <c r="K163" s="1413"/>
      <c r="L163" s="1127"/>
      <c r="M163" s="1128"/>
      <c r="N163" s="1423"/>
      <c r="O163" s="1424">
        <v>1</v>
      </c>
      <c r="P163" s="1416" t="s">
        <v>52</v>
      </c>
      <c r="Q163" s="1377" t="s">
        <v>18</v>
      </c>
      <c r="R163" s="1377" t="s">
        <v>18</v>
      </c>
      <c r="S163" s="1377" t="s">
        <v>18</v>
      </c>
      <c r="T163" s="1377" t="s">
        <v>18</v>
      </c>
      <c r="U163" s="1377" t="s">
        <v>18</v>
      </c>
      <c r="V163" s="1377" t="s">
        <v>18</v>
      </c>
      <c r="W163" s="1377" t="s">
        <v>18</v>
      </c>
      <c r="X163" s="1377" t="s">
        <v>18</v>
      </c>
      <c r="Y163" s="1377"/>
      <c r="Z163" s="664"/>
      <c r="AA163" s="665"/>
      <c r="AB163" s="665"/>
      <c r="AC163" s="669"/>
      <c r="AD163" s="669"/>
      <c r="AE163" s="670"/>
      <c r="AF163" s="1408"/>
      <c r="AG163" s="1403"/>
      <c r="AH163" s="1403"/>
      <c r="AI163" s="1408"/>
      <c r="AJ163" s="1403"/>
      <c r="AK163" s="1403"/>
      <c r="AL163" s="703"/>
      <c r="AM163" s="35"/>
      <c r="AN163" s="35"/>
      <c r="AO163" s="35"/>
      <c r="AP163" s="35"/>
      <c r="AQ163" s="35"/>
      <c r="AR163" s="35"/>
      <c r="AS163" s="35"/>
      <c r="AT163" s="35"/>
      <c r="AU163" s="35"/>
      <c r="AV163" s="35"/>
      <c r="AW163" s="35"/>
      <c r="AX163" s="35"/>
      <c r="AY163" s="35"/>
      <c r="AZ163" s="35"/>
      <c r="BA163" s="35"/>
      <c r="BB163" s="35"/>
      <c r="BC163" s="35"/>
      <c r="BD163" s="35"/>
      <c r="BE163" s="35"/>
      <c r="BF163" s="35"/>
    </row>
    <row r="164" spans="1:58" ht="11.25" customHeight="1">
      <c r="A164" s="301" t="s">
        <v>916</v>
      </c>
      <c r="E164" s="11"/>
      <c r="F164" s="1406"/>
      <c r="G164" s="1421"/>
      <c r="H164" s="1410" t="s">
        <v>105</v>
      </c>
      <c r="I164" s="1411"/>
      <c r="J164" s="1412"/>
      <c r="K164" s="1413"/>
      <c r="L164" s="1127"/>
      <c r="M164" s="1128"/>
      <c r="N164" s="1423"/>
      <c r="O164" s="1424"/>
      <c r="P164" s="1417"/>
      <c r="Q164" s="1377"/>
      <c r="R164" s="1377"/>
      <c r="S164" s="1409"/>
      <c r="T164" s="1377"/>
      <c r="U164" s="1377"/>
      <c r="V164" s="1377"/>
      <c r="W164" s="1377"/>
      <c r="X164" s="1377"/>
      <c r="Y164" s="1377"/>
      <c r="Z164" s="978"/>
      <c r="AA164" s="969">
        <v>1</v>
      </c>
      <c r="AB164" s="668" t="s">
        <v>951</v>
      </c>
      <c r="AC164" s="371">
        <v>14269.58</v>
      </c>
      <c r="AD164" s="668" t="str">
        <f>AB164</f>
        <v xml:space="preserve">      Прочие амортизационные отчисления</v>
      </c>
      <c r="AE164" s="371">
        <v>0</v>
      </c>
      <c r="AF164" s="1408"/>
      <c r="AG164" s="1403"/>
      <c r="AH164" s="1403"/>
      <c r="AI164" s="1408"/>
      <c r="AJ164" s="1403"/>
      <c r="AK164" s="1403"/>
      <c r="AL164" s="703"/>
      <c r="AM164" s="35"/>
      <c r="AN164" s="35"/>
      <c r="AO164" s="35"/>
      <c r="AP164" s="35"/>
      <c r="AQ164" s="35"/>
      <c r="AR164" s="35"/>
      <c r="AS164" s="35"/>
      <c r="AT164" s="35"/>
      <c r="AU164" s="35"/>
      <c r="AV164" s="35"/>
      <c r="AW164" s="35"/>
      <c r="AX164" s="35"/>
      <c r="AY164" s="35"/>
      <c r="AZ164" s="35"/>
      <c r="BA164" s="35"/>
      <c r="BB164" s="35"/>
      <c r="BC164" s="35"/>
      <c r="BD164" s="35"/>
      <c r="BE164" s="35"/>
      <c r="BF164" s="35"/>
    </row>
    <row r="165" spans="1:58" ht="11.25" customHeight="1">
      <c r="A165" s="301" t="s">
        <v>916</v>
      </c>
      <c r="E165" s="11"/>
      <c r="F165" s="1406"/>
      <c r="G165" s="1421"/>
      <c r="H165" s="1410" t="s">
        <v>105</v>
      </c>
      <c r="I165" s="1411"/>
      <c r="J165" s="1412"/>
      <c r="K165" s="1413"/>
      <c r="L165" s="1127"/>
      <c r="M165" s="1128"/>
      <c r="N165" s="1423"/>
      <c r="O165" s="1424"/>
      <c r="P165" s="1418"/>
      <c r="Q165" s="1377"/>
      <c r="R165" s="1377"/>
      <c r="S165" s="1409"/>
      <c r="T165" s="1377"/>
      <c r="U165" s="1377"/>
      <c r="V165" s="1377"/>
      <c r="W165" s="1377"/>
      <c r="X165" s="1377"/>
      <c r="Y165" s="1377"/>
      <c r="Z165" s="664"/>
      <c r="AA165" s="665"/>
      <c r="AB165" s="108" t="s">
        <v>952</v>
      </c>
      <c r="AC165" s="669"/>
      <c r="AD165" s="669"/>
      <c r="AE165" s="671"/>
      <c r="AF165" s="1408"/>
      <c r="AG165" s="1403"/>
      <c r="AH165" s="1403"/>
      <c r="AI165" s="1408"/>
      <c r="AJ165" s="1403"/>
      <c r="AK165" s="1403"/>
      <c r="AL165" s="703"/>
      <c r="AM165" s="35"/>
      <c r="AN165" s="35"/>
      <c r="AO165" s="35"/>
      <c r="AP165" s="35"/>
      <c r="AQ165" s="35"/>
      <c r="AR165" s="35"/>
      <c r="AS165" s="35"/>
      <c r="AT165" s="35"/>
      <c r="AU165" s="35"/>
      <c r="AV165" s="35"/>
      <c r="AW165" s="35"/>
      <c r="AX165" s="35"/>
      <c r="AY165" s="35"/>
      <c r="AZ165" s="35"/>
      <c r="BA165" s="35"/>
      <c r="BB165" s="35"/>
      <c r="BC165" s="35"/>
      <c r="BD165" s="35"/>
      <c r="BE165" s="35"/>
      <c r="BF165" s="35"/>
    </row>
    <row r="166" spans="1:58" ht="11.25" customHeight="1">
      <c r="A166" s="301" t="s">
        <v>916</v>
      </c>
      <c r="E166" s="11"/>
      <c r="F166" s="1406"/>
      <c r="G166" s="1421"/>
      <c r="H166" s="1410" t="s">
        <v>105</v>
      </c>
      <c r="I166" s="1411"/>
      <c r="J166" s="1412"/>
      <c r="K166" s="1413"/>
      <c r="L166" s="1127"/>
      <c r="M166" s="1128"/>
      <c r="N166" s="664"/>
      <c r="O166" s="665"/>
      <c r="P166" s="108" t="s">
        <v>953</v>
      </c>
      <c r="Q166" s="665"/>
      <c r="R166" s="665"/>
      <c r="S166" s="665"/>
      <c r="T166" s="665"/>
      <c r="U166" s="665"/>
      <c r="V166" s="665"/>
      <c r="W166" s="665"/>
      <c r="X166" s="665"/>
      <c r="Y166" s="665"/>
      <c r="Z166" s="665"/>
      <c r="AA166" s="665"/>
      <c r="AB166" s="665"/>
      <c r="AC166" s="665"/>
      <c r="AD166" s="665"/>
      <c r="AE166" s="672"/>
      <c r="AF166" s="1408"/>
      <c r="AG166" s="1403"/>
      <c r="AH166" s="1403"/>
      <c r="AI166" s="1408"/>
      <c r="AJ166" s="1403"/>
      <c r="AK166" s="1403"/>
      <c r="AL166" s="703"/>
      <c r="AM166" s="35"/>
      <c r="AN166" s="35"/>
      <c r="AO166" s="35"/>
      <c r="AP166" s="35"/>
      <c r="AQ166" s="35"/>
      <c r="AR166" s="35"/>
      <c r="AS166" s="35"/>
      <c r="AT166" s="35"/>
      <c r="AU166" s="35"/>
      <c r="AV166" s="35"/>
      <c r="AW166" s="35"/>
      <c r="AX166" s="35"/>
      <c r="AY166" s="35"/>
      <c r="AZ166" s="35"/>
      <c r="BA166" s="35"/>
      <c r="BB166" s="35"/>
      <c r="BC166" s="35"/>
      <c r="BD166" s="35"/>
      <c r="BE166" s="35"/>
      <c r="BF166" s="35"/>
    </row>
    <row r="167" spans="1:58" ht="11.25" customHeight="1">
      <c r="A167" s="301" t="s">
        <v>916</v>
      </c>
      <c r="E167" s="11"/>
      <c r="F167" s="1406"/>
      <c r="G167" s="1395" t="s">
        <v>117</v>
      </c>
      <c r="H167" s="1410" t="s">
        <v>86</v>
      </c>
      <c r="I167" s="1411"/>
      <c r="J167" s="1412"/>
      <c r="K167" s="1413" t="s">
        <v>964</v>
      </c>
      <c r="L167" s="1127" t="s">
        <v>52</v>
      </c>
      <c r="M167" s="1128"/>
      <c r="N167" s="1046"/>
      <c r="O167" s="666" t="s">
        <v>375</v>
      </c>
      <c r="P167" s="667"/>
      <c r="Q167" s="667"/>
      <c r="R167" s="667"/>
      <c r="S167" s="667"/>
      <c r="T167" s="667"/>
      <c r="U167" s="667"/>
      <c r="V167" s="667"/>
      <c r="W167" s="667"/>
      <c r="X167" s="667"/>
      <c r="Y167" s="667"/>
      <c r="Z167" s="667"/>
      <c r="AA167" s="667"/>
      <c r="AB167" s="667"/>
      <c r="AC167" s="667"/>
      <c r="AD167" s="667"/>
      <c r="AE167" s="667"/>
      <c r="AF167" s="1408">
        <v>2025</v>
      </c>
      <c r="AG167" s="1403" t="s">
        <v>949</v>
      </c>
      <c r="AH167" s="1403" t="s">
        <v>982</v>
      </c>
      <c r="AI167" s="1408">
        <v>2025</v>
      </c>
      <c r="AJ167" s="1403" t="s">
        <v>949</v>
      </c>
      <c r="AK167" s="1403" t="s">
        <v>982</v>
      </c>
      <c r="AL167" s="703"/>
      <c r="AM167" s="35"/>
      <c r="AN167" s="35"/>
      <c r="AO167" s="35"/>
      <c r="AP167" s="35"/>
      <c r="AQ167" s="35"/>
      <c r="AR167" s="35"/>
      <c r="AS167" s="35"/>
      <c r="AT167" s="35"/>
      <c r="AU167" s="35"/>
      <c r="AV167" s="35"/>
      <c r="AW167" s="35"/>
      <c r="AX167" s="35"/>
      <c r="AY167" s="35"/>
      <c r="AZ167" s="35"/>
      <c r="BA167" s="35"/>
      <c r="BB167" s="35"/>
      <c r="BC167" s="35"/>
      <c r="BD167" s="35"/>
      <c r="BE167" s="35"/>
      <c r="BF167" s="35"/>
    </row>
    <row r="168" spans="1:58" ht="11.25" customHeight="1">
      <c r="A168" s="301" t="s">
        <v>916</v>
      </c>
      <c r="E168" s="11"/>
      <c r="F168" s="1406"/>
      <c r="G168" s="1421"/>
      <c r="H168" s="1410" t="s">
        <v>106</v>
      </c>
      <c r="I168" s="1411"/>
      <c r="J168" s="1412"/>
      <c r="K168" s="1413"/>
      <c r="L168" s="1127"/>
      <c r="M168" s="1128"/>
      <c r="N168" s="1423"/>
      <c r="O168" s="1424">
        <v>1</v>
      </c>
      <c r="P168" s="1416" t="s">
        <v>52</v>
      </c>
      <c r="Q168" s="1377" t="s">
        <v>18</v>
      </c>
      <c r="R168" s="1377" t="s">
        <v>18</v>
      </c>
      <c r="S168" s="1377" t="s">
        <v>18</v>
      </c>
      <c r="T168" s="1377" t="s">
        <v>18</v>
      </c>
      <c r="U168" s="1377" t="s">
        <v>18</v>
      </c>
      <c r="V168" s="1377" t="s">
        <v>18</v>
      </c>
      <c r="W168" s="1377" t="s">
        <v>18</v>
      </c>
      <c r="X168" s="1377" t="s">
        <v>18</v>
      </c>
      <c r="Y168" s="1377"/>
      <c r="Z168" s="664"/>
      <c r="AA168" s="665"/>
      <c r="AB168" s="665"/>
      <c r="AC168" s="669"/>
      <c r="AD168" s="669"/>
      <c r="AE168" s="670"/>
      <c r="AF168" s="1408"/>
      <c r="AG168" s="1403"/>
      <c r="AH168" s="1403"/>
      <c r="AI168" s="1408"/>
      <c r="AJ168" s="1403"/>
      <c r="AK168" s="1403"/>
      <c r="AL168" s="703"/>
      <c r="AM168" s="35"/>
      <c r="AN168" s="35"/>
      <c r="AO168" s="35"/>
      <c r="AP168" s="35"/>
      <c r="AQ168" s="35"/>
      <c r="AR168" s="35"/>
      <c r="AS168" s="35"/>
      <c r="AT168" s="35"/>
      <c r="AU168" s="35"/>
      <c r="AV168" s="35"/>
      <c r="AW168" s="35"/>
      <c r="AX168" s="35"/>
      <c r="AY168" s="35"/>
      <c r="AZ168" s="35"/>
      <c r="BA168" s="35"/>
      <c r="BB168" s="35"/>
      <c r="BC168" s="35"/>
      <c r="BD168" s="35"/>
      <c r="BE168" s="35"/>
      <c r="BF168" s="35"/>
    </row>
    <row r="169" spans="1:58" ht="11.25" customHeight="1">
      <c r="A169" s="301" t="s">
        <v>916</v>
      </c>
      <c r="E169" s="11"/>
      <c r="F169" s="1406"/>
      <c r="G169" s="1421"/>
      <c r="H169" s="1410" t="s">
        <v>106</v>
      </c>
      <c r="I169" s="1411"/>
      <c r="J169" s="1412"/>
      <c r="K169" s="1413"/>
      <c r="L169" s="1127"/>
      <c r="M169" s="1128"/>
      <c r="N169" s="1423"/>
      <c r="O169" s="1424"/>
      <c r="P169" s="1417"/>
      <c r="Q169" s="1377"/>
      <c r="R169" s="1377"/>
      <c r="S169" s="1409"/>
      <c r="T169" s="1377"/>
      <c r="U169" s="1377"/>
      <c r="V169" s="1377"/>
      <c r="W169" s="1377"/>
      <c r="X169" s="1377"/>
      <c r="Y169" s="1377"/>
      <c r="Z169" s="978"/>
      <c r="AA169" s="969">
        <v>1</v>
      </c>
      <c r="AB169" s="668" t="s">
        <v>966</v>
      </c>
      <c r="AC169" s="371">
        <v>16500</v>
      </c>
      <c r="AD169" s="668" t="str">
        <f>AB169</f>
        <v xml:space="preserve">  Прибыль направляемая на инвестиции</v>
      </c>
      <c r="AE169" s="371">
        <v>0</v>
      </c>
      <c r="AF169" s="1408"/>
      <c r="AG169" s="1403"/>
      <c r="AH169" s="1403"/>
      <c r="AI169" s="1408"/>
      <c r="AJ169" s="1403"/>
      <c r="AK169" s="1403"/>
      <c r="AL169" s="703"/>
      <c r="AM169" s="35"/>
      <c r="AN169" s="35"/>
      <c r="AO169" s="35"/>
      <c r="AP169" s="35"/>
      <c r="AQ169" s="35"/>
      <c r="AR169" s="35"/>
      <c r="AS169" s="35"/>
      <c r="AT169" s="35"/>
      <c r="AU169" s="35"/>
      <c r="AV169" s="35"/>
      <c r="AW169" s="35"/>
      <c r="AX169" s="35"/>
      <c r="AY169" s="35"/>
      <c r="AZ169" s="35"/>
      <c r="BA169" s="35"/>
      <c r="BB169" s="35"/>
      <c r="BC169" s="35"/>
      <c r="BD169" s="35"/>
      <c r="BE169" s="35"/>
      <c r="BF169" s="35"/>
    </row>
    <row r="170" spans="1:58" ht="11.25" customHeight="1">
      <c r="A170" s="301" t="s">
        <v>916</v>
      </c>
      <c r="E170" s="11"/>
      <c r="F170" s="1406"/>
      <c r="G170" s="1421"/>
      <c r="H170" s="1410" t="s">
        <v>106</v>
      </c>
      <c r="I170" s="1411"/>
      <c r="J170" s="1412"/>
      <c r="K170" s="1413"/>
      <c r="L170" s="1127"/>
      <c r="M170" s="1128"/>
      <c r="N170" s="1423"/>
      <c r="O170" s="1424"/>
      <c r="P170" s="1418"/>
      <c r="Q170" s="1377"/>
      <c r="R170" s="1377"/>
      <c r="S170" s="1409"/>
      <c r="T170" s="1377"/>
      <c r="U170" s="1377"/>
      <c r="V170" s="1377"/>
      <c r="W170" s="1377"/>
      <c r="X170" s="1377"/>
      <c r="Y170" s="1377"/>
      <c r="Z170" s="664"/>
      <c r="AA170" s="665"/>
      <c r="AB170" s="108" t="s">
        <v>952</v>
      </c>
      <c r="AC170" s="669"/>
      <c r="AD170" s="669"/>
      <c r="AE170" s="671"/>
      <c r="AF170" s="1408"/>
      <c r="AG170" s="1403"/>
      <c r="AH170" s="1403"/>
      <c r="AI170" s="1408"/>
      <c r="AJ170" s="1403"/>
      <c r="AK170" s="1403"/>
      <c r="AL170" s="703"/>
      <c r="AM170" s="35"/>
      <c r="AN170" s="35"/>
      <c r="AO170" s="35"/>
      <c r="AP170" s="35"/>
      <c r="AQ170" s="35"/>
      <c r="AR170" s="35"/>
      <c r="AS170" s="35"/>
      <c r="AT170" s="35"/>
      <c r="AU170" s="35"/>
      <c r="AV170" s="35"/>
      <c r="AW170" s="35"/>
      <c r="AX170" s="35"/>
      <c r="AY170" s="35"/>
      <c r="AZ170" s="35"/>
      <c r="BA170" s="35"/>
      <c r="BB170" s="35"/>
      <c r="BC170" s="35"/>
      <c r="BD170" s="35"/>
      <c r="BE170" s="35"/>
      <c r="BF170" s="35"/>
    </row>
    <row r="171" spans="1:58" ht="11.25" customHeight="1">
      <c r="A171" s="301" t="s">
        <v>916</v>
      </c>
      <c r="E171" s="11"/>
      <c r="F171" s="1406"/>
      <c r="G171" s="1421"/>
      <c r="H171" s="1410" t="s">
        <v>106</v>
      </c>
      <c r="I171" s="1411"/>
      <c r="J171" s="1412"/>
      <c r="K171" s="1413"/>
      <c r="L171" s="1127"/>
      <c r="M171" s="1128"/>
      <c r="N171" s="664"/>
      <c r="O171" s="665"/>
      <c r="P171" s="108" t="s">
        <v>953</v>
      </c>
      <c r="Q171" s="665"/>
      <c r="R171" s="665"/>
      <c r="S171" s="665"/>
      <c r="T171" s="665"/>
      <c r="U171" s="665"/>
      <c r="V171" s="665"/>
      <c r="W171" s="665"/>
      <c r="X171" s="665"/>
      <c r="Y171" s="665"/>
      <c r="Z171" s="665"/>
      <c r="AA171" s="665"/>
      <c r="AB171" s="665"/>
      <c r="AC171" s="665"/>
      <c r="AD171" s="665"/>
      <c r="AE171" s="672"/>
      <c r="AF171" s="1408"/>
      <c r="AG171" s="1403"/>
      <c r="AH171" s="1403"/>
      <c r="AI171" s="1408"/>
      <c r="AJ171" s="1403"/>
      <c r="AK171" s="1403"/>
      <c r="AL171" s="703"/>
      <c r="AM171" s="35"/>
      <c r="AN171" s="35"/>
      <c r="AO171" s="35"/>
      <c r="AP171" s="35"/>
      <c r="AQ171" s="35"/>
      <c r="AR171" s="35"/>
      <c r="AS171" s="35"/>
      <c r="AT171" s="35"/>
      <c r="AU171" s="35"/>
      <c r="AV171" s="35"/>
      <c r="AW171" s="35"/>
      <c r="AX171" s="35"/>
      <c r="AY171" s="35"/>
      <c r="AZ171" s="35"/>
      <c r="BA171" s="35"/>
      <c r="BB171" s="35"/>
      <c r="BC171" s="35"/>
      <c r="BD171" s="35"/>
      <c r="BE171" s="35"/>
      <c r="BF171" s="35"/>
    </row>
    <row r="172" spans="1:58" ht="11.25" customHeight="1">
      <c r="A172" s="301" t="s">
        <v>916</v>
      </c>
      <c r="E172" s="11"/>
      <c r="F172" s="1406"/>
      <c r="G172" s="1395" t="s">
        <v>117</v>
      </c>
      <c r="H172" s="1410" t="s">
        <v>87</v>
      </c>
      <c r="I172" s="1411"/>
      <c r="J172" s="1412"/>
      <c r="K172" s="1413" t="s">
        <v>984</v>
      </c>
      <c r="L172" s="1127" t="s">
        <v>52</v>
      </c>
      <c r="M172" s="1128"/>
      <c r="N172" s="1046"/>
      <c r="O172" s="666" t="s">
        <v>375</v>
      </c>
      <c r="P172" s="667"/>
      <c r="Q172" s="667"/>
      <c r="R172" s="667"/>
      <c r="S172" s="667"/>
      <c r="T172" s="667"/>
      <c r="U172" s="667"/>
      <c r="V172" s="667"/>
      <c r="W172" s="667"/>
      <c r="X172" s="667"/>
      <c r="Y172" s="667"/>
      <c r="Z172" s="667"/>
      <c r="AA172" s="667"/>
      <c r="AB172" s="667"/>
      <c r="AC172" s="667"/>
      <c r="AD172" s="667"/>
      <c r="AE172" s="667"/>
      <c r="AF172" s="1408">
        <v>2026</v>
      </c>
      <c r="AG172" s="1403" t="s">
        <v>949</v>
      </c>
      <c r="AH172" s="1403" t="s">
        <v>982</v>
      </c>
      <c r="AI172" s="1408">
        <v>2026</v>
      </c>
      <c r="AJ172" s="1403" t="s">
        <v>949</v>
      </c>
      <c r="AK172" s="1403" t="s">
        <v>982</v>
      </c>
      <c r="AL172" s="703"/>
      <c r="AM172" s="35"/>
      <c r="AN172" s="35"/>
      <c r="AO172" s="35"/>
      <c r="AP172" s="35"/>
      <c r="AQ172" s="35"/>
      <c r="AR172" s="35"/>
      <c r="AS172" s="35"/>
      <c r="AT172" s="35"/>
      <c r="AU172" s="35"/>
      <c r="AV172" s="35"/>
      <c r="AW172" s="35"/>
      <c r="AX172" s="35"/>
      <c r="AY172" s="35"/>
      <c r="AZ172" s="35"/>
      <c r="BA172" s="35"/>
      <c r="BB172" s="35"/>
      <c r="BC172" s="35"/>
      <c r="BD172" s="35"/>
      <c r="BE172" s="35"/>
      <c r="BF172" s="35"/>
    </row>
    <row r="173" spans="1:58" ht="11.25" customHeight="1">
      <c r="A173" s="301" t="s">
        <v>916</v>
      </c>
      <c r="E173" s="11"/>
      <c r="F173" s="1406"/>
      <c r="G173" s="1421"/>
      <c r="H173" s="1410" t="s">
        <v>86</v>
      </c>
      <c r="I173" s="1411"/>
      <c r="J173" s="1412"/>
      <c r="K173" s="1413"/>
      <c r="L173" s="1127"/>
      <c r="M173" s="1128"/>
      <c r="N173" s="1423"/>
      <c r="O173" s="1424">
        <v>1</v>
      </c>
      <c r="P173" s="1416" t="s">
        <v>52</v>
      </c>
      <c r="Q173" s="1377" t="s">
        <v>18</v>
      </c>
      <c r="R173" s="1377" t="s">
        <v>18</v>
      </c>
      <c r="S173" s="1377" t="s">
        <v>18</v>
      </c>
      <c r="T173" s="1377" t="s">
        <v>18</v>
      </c>
      <c r="U173" s="1377" t="s">
        <v>18</v>
      </c>
      <c r="V173" s="1377" t="s">
        <v>18</v>
      </c>
      <c r="W173" s="1377" t="s">
        <v>18</v>
      </c>
      <c r="X173" s="1377" t="s">
        <v>18</v>
      </c>
      <c r="Y173" s="1377"/>
      <c r="Z173" s="664"/>
      <c r="AA173" s="665"/>
      <c r="AB173" s="665"/>
      <c r="AC173" s="669"/>
      <c r="AD173" s="669"/>
      <c r="AE173" s="670"/>
      <c r="AF173" s="1408"/>
      <c r="AG173" s="1403"/>
      <c r="AH173" s="1403"/>
      <c r="AI173" s="1408"/>
      <c r="AJ173" s="1403"/>
      <c r="AK173" s="1403"/>
      <c r="AL173" s="703"/>
      <c r="AM173" s="35"/>
      <c r="AN173" s="35"/>
      <c r="AO173" s="35"/>
      <c r="AP173" s="35"/>
      <c r="AQ173" s="35"/>
      <c r="AR173" s="35"/>
      <c r="AS173" s="35"/>
      <c r="AT173" s="35"/>
      <c r="AU173" s="35"/>
      <c r="AV173" s="35"/>
      <c r="AW173" s="35"/>
      <c r="AX173" s="35"/>
      <c r="AY173" s="35"/>
      <c r="AZ173" s="35"/>
      <c r="BA173" s="35"/>
      <c r="BB173" s="35"/>
      <c r="BC173" s="35"/>
      <c r="BD173" s="35"/>
      <c r="BE173" s="35"/>
      <c r="BF173" s="35"/>
    </row>
    <row r="174" spans="1:58" ht="11.25" customHeight="1">
      <c r="A174" s="301" t="s">
        <v>916</v>
      </c>
      <c r="E174" s="11"/>
      <c r="F174" s="1406"/>
      <c r="G174" s="1421"/>
      <c r="H174" s="1410" t="s">
        <v>86</v>
      </c>
      <c r="I174" s="1411"/>
      <c r="J174" s="1412"/>
      <c r="K174" s="1413"/>
      <c r="L174" s="1127"/>
      <c r="M174" s="1128"/>
      <c r="N174" s="1423"/>
      <c r="O174" s="1424"/>
      <c r="P174" s="1417"/>
      <c r="Q174" s="1377"/>
      <c r="R174" s="1377"/>
      <c r="S174" s="1409"/>
      <c r="T174" s="1377"/>
      <c r="U174" s="1377"/>
      <c r="V174" s="1377"/>
      <c r="W174" s="1377"/>
      <c r="X174" s="1377"/>
      <c r="Y174" s="1377"/>
      <c r="Z174" s="978"/>
      <c r="AA174" s="969">
        <v>1</v>
      </c>
      <c r="AB174" s="668" t="s">
        <v>951</v>
      </c>
      <c r="AC174" s="371">
        <v>10034.540000000001</v>
      </c>
      <c r="AD174" s="668" t="str">
        <f>AB174</f>
        <v xml:space="preserve">      Прочие амортизационные отчисления</v>
      </c>
      <c r="AE174" s="371">
        <v>0</v>
      </c>
      <c r="AF174" s="1408"/>
      <c r="AG174" s="1403"/>
      <c r="AH174" s="1403"/>
      <c r="AI174" s="1408"/>
      <c r="AJ174" s="1403"/>
      <c r="AK174" s="1403"/>
      <c r="AL174" s="703"/>
      <c r="AM174" s="35"/>
      <c r="AN174" s="35"/>
      <c r="AO174" s="35"/>
      <c r="AP174" s="35"/>
      <c r="AQ174" s="35"/>
      <c r="AR174" s="35"/>
      <c r="AS174" s="35"/>
      <c r="AT174" s="35"/>
      <c r="AU174" s="35"/>
      <c r="AV174" s="35"/>
      <c r="AW174" s="35"/>
      <c r="AX174" s="35"/>
      <c r="AY174" s="35"/>
      <c r="AZ174" s="35"/>
      <c r="BA174" s="35"/>
      <c r="BB174" s="35"/>
      <c r="BC174" s="35"/>
      <c r="BD174" s="35"/>
      <c r="BE174" s="35"/>
      <c r="BF174" s="35"/>
    </row>
    <row r="175" spans="1:58" ht="11.25" customHeight="1">
      <c r="A175" s="301" t="s">
        <v>916</v>
      </c>
      <c r="E175" s="11"/>
      <c r="F175" s="1406"/>
      <c r="G175" s="1421"/>
      <c r="H175" s="1410" t="s">
        <v>86</v>
      </c>
      <c r="I175" s="1411"/>
      <c r="J175" s="1412"/>
      <c r="K175" s="1413"/>
      <c r="L175" s="1127"/>
      <c r="M175" s="1128"/>
      <c r="N175" s="1423"/>
      <c r="O175" s="1424"/>
      <c r="P175" s="1418"/>
      <c r="Q175" s="1377"/>
      <c r="R175" s="1377"/>
      <c r="S175" s="1409"/>
      <c r="T175" s="1377"/>
      <c r="U175" s="1377"/>
      <c r="V175" s="1377"/>
      <c r="W175" s="1377"/>
      <c r="X175" s="1377"/>
      <c r="Y175" s="1377"/>
      <c r="Z175" s="664"/>
      <c r="AA175" s="665"/>
      <c r="AB175" s="108" t="s">
        <v>952</v>
      </c>
      <c r="AC175" s="669"/>
      <c r="AD175" s="669"/>
      <c r="AE175" s="671"/>
      <c r="AF175" s="1408"/>
      <c r="AG175" s="1403"/>
      <c r="AH175" s="1403"/>
      <c r="AI175" s="1408"/>
      <c r="AJ175" s="1403"/>
      <c r="AK175" s="1403"/>
      <c r="AL175" s="703"/>
      <c r="AM175" s="35"/>
      <c r="AN175" s="35"/>
      <c r="AO175" s="35"/>
      <c r="AP175" s="35"/>
      <c r="AQ175" s="35"/>
      <c r="AR175" s="35"/>
      <c r="AS175" s="35"/>
      <c r="AT175" s="35"/>
      <c r="AU175" s="35"/>
      <c r="AV175" s="35"/>
      <c r="AW175" s="35"/>
      <c r="AX175" s="35"/>
      <c r="AY175" s="35"/>
      <c r="AZ175" s="35"/>
      <c r="BA175" s="35"/>
      <c r="BB175" s="35"/>
      <c r="BC175" s="35"/>
      <c r="BD175" s="35"/>
      <c r="BE175" s="35"/>
      <c r="BF175" s="35"/>
    </row>
    <row r="176" spans="1:58" ht="11.25" customHeight="1">
      <c r="A176" s="301" t="s">
        <v>916</v>
      </c>
      <c r="E176" s="11"/>
      <c r="F176" s="1406"/>
      <c r="G176" s="1421"/>
      <c r="H176" s="1410" t="s">
        <v>86</v>
      </c>
      <c r="I176" s="1411"/>
      <c r="J176" s="1412"/>
      <c r="K176" s="1413"/>
      <c r="L176" s="1127"/>
      <c r="M176" s="1128"/>
      <c r="N176" s="664"/>
      <c r="O176" s="665"/>
      <c r="P176" s="108" t="s">
        <v>953</v>
      </c>
      <c r="Q176" s="665"/>
      <c r="R176" s="665"/>
      <c r="S176" s="665"/>
      <c r="T176" s="665"/>
      <c r="U176" s="665"/>
      <c r="V176" s="665"/>
      <c r="W176" s="665"/>
      <c r="X176" s="665"/>
      <c r="Y176" s="665"/>
      <c r="Z176" s="665"/>
      <c r="AA176" s="665"/>
      <c r="AB176" s="665"/>
      <c r="AC176" s="665"/>
      <c r="AD176" s="665"/>
      <c r="AE176" s="672"/>
      <c r="AF176" s="1408"/>
      <c r="AG176" s="1403"/>
      <c r="AH176" s="1403"/>
      <c r="AI176" s="1408"/>
      <c r="AJ176" s="1403"/>
      <c r="AK176" s="1403"/>
      <c r="AL176" s="703"/>
      <c r="AM176" s="35"/>
      <c r="AN176" s="35"/>
      <c r="AO176" s="35"/>
      <c r="AP176" s="35"/>
      <c r="AQ176" s="35"/>
      <c r="AR176" s="35"/>
      <c r="AS176" s="35"/>
      <c r="AT176" s="35"/>
      <c r="AU176" s="35"/>
      <c r="AV176" s="35"/>
      <c r="AW176" s="35"/>
      <c r="AX176" s="35"/>
      <c r="AY176" s="35"/>
      <c r="AZ176" s="35"/>
      <c r="BA176" s="35"/>
      <c r="BB176" s="35"/>
      <c r="BC176" s="35"/>
      <c r="BD176" s="35"/>
      <c r="BE176" s="35"/>
      <c r="BF176" s="35"/>
    </row>
    <row r="177" spans="1:58" ht="11.25" customHeight="1">
      <c r="A177" s="301" t="s">
        <v>916</v>
      </c>
      <c r="E177" s="11"/>
      <c r="F177" s="1406"/>
      <c r="G177" s="1395" t="s">
        <v>117</v>
      </c>
      <c r="H177" s="1410" t="s">
        <v>107</v>
      </c>
      <c r="I177" s="1411"/>
      <c r="J177" s="1412"/>
      <c r="K177" s="1413" t="s">
        <v>959</v>
      </c>
      <c r="L177" s="1127" t="s">
        <v>52</v>
      </c>
      <c r="M177" s="1128"/>
      <c r="N177" s="1046"/>
      <c r="O177" s="666" t="s">
        <v>375</v>
      </c>
      <c r="P177" s="667"/>
      <c r="Q177" s="667"/>
      <c r="R177" s="667"/>
      <c r="S177" s="667"/>
      <c r="T177" s="667"/>
      <c r="U177" s="667"/>
      <c r="V177" s="667"/>
      <c r="W177" s="667"/>
      <c r="X177" s="667"/>
      <c r="Y177" s="667"/>
      <c r="Z177" s="667"/>
      <c r="AA177" s="667"/>
      <c r="AB177" s="667"/>
      <c r="AC177" s="667"/>
      <c r="AD177" s="667"/>
      <c r="AE177" s="667"/>
      <c r="AF177" s="1408">
        <v>2026</v>
      </c>
      <c r="AG177" s="1403" t="s">
        <v>949</v>
      </c>
      <c r="AH177" s="1403" t="s">
        <v>982</v>
      </c>
      <c r="AI177" s="1408">
        <v>2026</v>
      </c>
      <c r="AJ177" s="1403" t="s">
        <v>949</v>
      </c>
      <c r="AK177" s="1403" t="s">
        <v>982</v>
      </c>
      <c r="AL177" s="703"/>
      <c r="AM177" s="35"/>
      <c r="AN177" s="35"/>
      <c r="AO177" s="35"/>
      <c r="AP177" s="35"/>
      <c r="AQ177" s="35"/>
      <c r="AR177" s="35"/>
      <c r="AS177" s="35"/>
      <c r="AT177" s="35"/>
      <c r="AU177" s="35"/>
      <c r="AV177" s="35"/>
      <c r="AW177" s="35"/>
      <c r="AX177" s="35"/>
      <c r="AY177" s="35"/>
      <c r="AZ177" s="35"/>
      <c r="BA177" s="35"/>
      <c r="BB177" s="35"/>
      <c r="BC177" s="35"/>
      <c r="BD177" s="35"/>
      <c r="BE177" s="35"/>
      <c r="BF177" s="35"/>
    </row>
    <row r="178" spans="1:58" ht="11.25" customHeight="1">
      <c r="A178" s="301" t="s">
        <v>916</v>
      </c>
      <c r="E178" s="11"/>
      <c r="F178" s="1406"/>
      <c r="G178" s="1421"/>
      <c r="H178" s="1410" t="s">
        <v>87</v>
      </c>
      <c r="I178" s="1411"/>
      <c r="J178" s="1412"/>
      <c r="K178" s="1413"/>
      <c r="L178" s="1127"/>
      <c r="M178" s="1128"/>
      <c r="N178" s="1423"/>
      <c r="O178" s="1424">
        <v>1</v>
      </c>
      <c r="P178" s="1416" t="s">
        <v>52</v>
      </c>
      <c r="Q178" s="1377" t="s">
        <v>18</v>
      </c>
      <c r="R178" s="1377" t="s">
        <v>18</v>
      </c>
      <c r="S178" s="1377" t="s">
        <v>18</v>
      </c>
      <c r="T178" s="1377" t="s">
        <v>18</v>
      </c>
      <c r="U178" s="1377" t="s">
        <v>18</v>
      </c>
      <c r="V178" s="1377" t="s">
        <v>18</v>
      </c>
      <c r="W178" s="1377" t="s">
        <v>18</v>
      </c>
      <c r="X178" s="1377" t="s">
        <v>18</v>
      </c>
      <c r="Y178" s="1377"/>
      <c r="Z178" s="664"/>
      <c r="AA178" s="665"/>
      <c r="AB178" s="665"/>
      <c r="AC178" s="669"/>
      <c r="AD178" s="669"/>
      <c r="AE178" s="670"/>
      <c r="AF178" s="1408"/>
      <c r="AG178" s="1403"/>
      <c r="AH178" s="1403"/>
      <c r="AI178" s="1408"/>
      <c r="AJ178" s="1403"/>
      <c r="AK178" s="1403"/>
      <c r="AL178" s="703"/>
      <c r="AM178" s="35"/>
      <c r="AN178" s="35"/>
      <c r="AO178" s="35"/>
      <c r="AP178" s="35"/>
      <c r="AQ178" s="35"/>
      <c r="AR178" s="35"/>
      <c r="AS178" s="35"/>
      <c r="AT178" s="35"/>
      <c r="AU178" s="35"/>
      <c r="AV178" s="35"/>
      <c r="AW178" s="35"/>
      <c r="AX178" s="35"/>
      <c r="AY178" s="35"/>
      <c r="AZ178" s="35"/>
      <c r="BA178" s="35"/>
      <c r="BB178" s="35"/>
      <c r="BC178" s="35"/>
      <c r="BD178" s="35"/>
      <c r="BE178" s="35"/>
      <c r="BF178" s="35"/>
    </row>
    <row r="179" spans="1:58" ht="11.25" customHeight="1">
      <c r="A179" s="301" t="s">
        <v>916</v>
      </c>
      <c r="E179" s="11"/>
      <c r="F179" s="1406"/>
      <c r="G179" s="1421"/>
      <c r="H179" s="1410" t="s">
        <v>87</v>
      </c>
      <c r="I179" s="1411"/>
      <c r="J179" s="1412"/>
      <c r="K179" s="1413"/>
      <c r="L179" s="1127"/>
      <c r="M179" s="1128"/>
      <c r="N179" s="1423"/>
      <c r="O179" s="1424"/>
      <c r="P179" s="1417"/>
      <c r="Q179" s="1377"/>
      <c r="R179" s="1377"/>
      <c r="S179" s="1409"/>
      <c r="T179" s="1377"/>
      <c r="U179" s="1377"/>
      <c r="V179" s="1377"/>
      <c r="W179" s="1377"/>
      <c r="X179" s="1377"/>
      <c r="Y179" s="1377"/>
      <c r="Z179" s="978"/>
      <c r="AA179" s="969">
        <v>1</v>
      </c>
      <c r="AB179" s="668" t="s">
        <v>951</v>
      </c>
      <c r="AC179" s="371">
        <v>952.14</v>
      </c>
      <c r="AD179" s="668" t="str">
        <f>AB179</f>
        <v xml:space="preserve">      Прочие амортизационные отчисления</v>
      </c>
      <c r="AE179" s="371">
        <v>0</v>
      </c>
      <c r="AF179" s="1408"/>
      <c r="AG179" s="1403"/>
      <c r="AH179" s="1403"/>
      <c r="AI179" s="1408"/>
      <c r="AJ179" s="1403"/>
      <c r="AK179" s="1403"/>
      <c r="AL179" s="703"/>
      <c r="AM179" s="35"/>
      <c r="AN179" s="35"/>
      <c r="AO179" s="35"/>
      <c r="AP179" s="35"/>
      <c r="AQ179" s="35"/>
      <c r="AR179" s="35"/>
      <c r="AS179" s="35"/>
      <c r="AT179" s="35"/>
      <c r="AU179" s="35"/>
      <c r="AV179" s="35"/>
      <c r="AW179" s="35"/>
      <c r="AX179" s="35"/>
      <c r="AY179" s="35"/>
      <c r="AZ179" s="35"/>
      <c r="BA179" s="35"/>
      <c r="BB179" s="35"/>
      <c r="BC179" s="35"/>
      <c r="BD179" s="35"/>
      <c r="BE179" s="35"/>
      <c r="BF179" s="35"/>
    </row>
    <row r="180" spans="1:58" ht="11.25" customHeight="1">
      <c r="A180" s="301" t="s">
        <v>916</v>
      </c>
      <c r="E180" s="11"/>
      <c r="F180" s="1406"/>
      <c r="G180" s="1421"/>
      <c r="H180" s="1410" t="s">
        <v>87</v>
      </c>
      <c r="I180" s="1411"/>
      <c r="J180" s="1412"/>
      <c r="K180" s="1413"/>
      <c r="L180" s="1127"/>
      <c r="M180" s="1128"/>
      <c r="N180" s="1423"/>
      <c r="O180" s="1424"/>
      <c r="P180" s="1418"/>
      <c r="Q180" s="1377"/>
      <c r="R180" s="1377"/>
      <c r="S180" s="1409"/>
      <c r="T180" s="1377"/>
      <c r="U180" s="1377"/>
      <c r="V180" s="1377"/>
      <c r="W180" s="1377"/>
      <c r="X180" s="1377"/>
      <c r="Y180" s="1377"/>
      <c r="Z180" s="664"/>
      <c r="AA180" s="665"/>
      <c r="AB180" s="108" t="s">
        <v>952</v>
      </c>
      <c r="AC180" s="669"/>
      <c r="AD180" s="669"/>
      <c r="AE180" s="671"/>
      <c r="AF180" s="1408"/>
      <c r="AG180" s="1403"/>
      <c r="AH180" s="1403"/>
      <c r="AI180" s="1408"/>
      <c r="AJ180" s="1403"/>
      <c r="AK180" s="1403"/>
      <c r="AL180" s="703"/>
      <c r="AM180" s="35"/>
      <c r="AN180" s="35"/>
      <c r="AO180" s="35"/>
      <c r="AP180" s="35"/>
      <c r="AQ180" s="35"/>
      <c r="AR180" s="35"/>
      <c r="AS180" s="35"/>
      <c r="AT180" s="35"/>
      <c r="AU180" s="35"/>
      <c r="AV180" s="35"/>
      <c r="AW180" s="35"/>
      <c r="AX180" s="35"/>
      <c r="AY180" s="35"/>
      <c r="AZ180" s="35"/>
      <c r="BA180" s="35"/>
      <c r="BB180" s="35"/>
      <c r="BC180" s="35"/>
      <c r="BD180" s="35"/>
      <c r="BE180" s="35"/>
      <c r="BF180" s="35"/>
    </row>
    <row r="181" spans="1:58" ht="11.25" customHeight="1">
      <c r="A181" s="301" t="s">
        <v>916</v>
      </c>
      <c r="E181" s="11"/>
      <c r="F181" s="1406"/>
      <c r="G181" s="1421"/>
      <c r="H181" s="1410" t="s">
        <v>87</v>
      </c>
      <c r="I181" s="1411"/>
      <c r="J181" s="1412"/>
      <c r="K181" s="1413"/>
      <c r="L181" s="1127"/>
      <c r="M181" s="1128"/>
      <c r="N181" s="664"/>
      <c r="O181" s="665"/>
      <c r="P181" s="108" t="s">
        <v>953</v>
      </c>
      <c r="Q181" s="665"/>
      <c r="R181" s="665"/>
      <c r="S181" s="665"/>
      <c r="T181" s="665"/>
      <c r="U181" s="665"/>
      <c r="V181" s="665"/>
      <c r="W181" s="665"/>
      <c r="X181" s="665"/>
      <c r="Y181" s="665"/>
      <c r="Z181" s="665"/>
      <c r="AA181" s="665"/>
      <c r="AB181" s="665"/>
      <c r="AC181" s="665"/>
      <c r="AD181" s="665"/>
      <c r="AE181" s="672"/>
      <c r="AF181" s="1408"/>
      <c r="AG181" s="1403"/>
      <c r="AH181" s="1403"/>
      <c r="AI181" s="1408"/>
      <c r="AJ181" s="1403"/>
      <c r="AK181" s="1403"/>
      <c r="AL181" s="703"/>
      <c r="AM181" s="35"/>
      <c r="AN181" s="35"/>
      <c r="AO181" s="35"/>
      <c r="AP181" s="35"/>
      <c r="AQ181" s="35"/>
      <c r="AR181" s="35"/>
      <c r="AS181" s="35"/>
      <c r="AT181" s="35"/>
      <c r="AU181" s="35"/>
      <c r="AV181" s="35"/>
      <c r="AW181" s="35"/>
      <c r="AX181" s="35"/>
      <c r="AY181" s="35"/>
      <c r="AZ181" s="35"/>
      <c r="BA181" s="35"/>
      <c r="BB181" s="35"/>
      <c r="BC181" s="35"/>
      <c r="BD181" s="35"/>
      <c r="BE181" s="35"/>
      <c r="BF181" s="35"/>
    </row>
    <row r="182" spans="1:58" ht="11.25" customHeight="1">
      <c r="A182" s="301" t="s">
        <v>916</v>
      </c>
      <c r="E182" s="11"/>
      <c r="F182" s="1406"/>
      <c r="G182" s="1395" t="s">
        <v>117</v>
      </c>
      <c r="H182" s="1410" t="s">
        <v>88</v>
      </c>
      <c r="I182" s="1411"/>
      <c r="J182" s="1412"/>
      <c r="K182" s="1413" t="s">
        <v>962</v>
      </c>
      <c r="L182" s="1127" t="s">
        <v>52</v>
      </c>
      <c r="M182" s="1128"/>
      <c r="N182" s="1046"/>
      <c r="O182" s="666" t="s">
        <v>375</v>
      </c>
      <c r="P182" s="667"/>
      <c r="Q182" s="667"/>
      <c r="R182" s="667"/>
      <c r="S182" s="667"/>
      <c r="T182" s="667"/>
      <c r="U182" s="667"/>
      <c r="V182" s="667"/>
      <c r="W182" s="667"/>
      <c r="X182" s="667"/>
      <c r="Y182" s="667"/>
      <c r="Z182" s="667"/>
      <c r="AA182" s="667"/>
      <c r="AB182" s="667"/>
      <c r="AC182" s="667"/>
      <c r="AD182" s="667"/>
      <c r="AE182" s="667"/>
      <c r="AF182" s="1408">
        <v>2025</v>
      </c>
      <c r="AG182" s="1403" t="s">
        <v>949</v>
      </c>
      <c r="AH182" s="1403" t="s">
        <v>982</v>
      </c>
      <c r="AI182" s="1408">
        <v>2025</v>
      </c>
      <c r="AJ182" s="1403" t="s">
        <v>949</v>
      </c>
      <c r="AK182" s="1403" t="s">
        <v>982</v>
      </c>
      <c r="AL182" s="703"/>
      <c r="AM182" s="35"/>
      <c r="AN182" s="35"/>
      <c r="AO182" s="35"/>
      <c r="AP182" s="35"/>
      <c r="AQ182" s="35"/>
      <c r="AR182" s="35"/>
      <c r="AS182" s="35"/>
      <c r="AT182" s="35"/>
      <c r="AU182" s="35"/>
      <c r="AV182" s="35"/>
      <c r="AW182" s="35"/>
      <c r="AX182" s="35"/>
      <c r="AY182" s="35"/>
      <c r="AZ182" s="35"/>
      <c r="BA182" s="35"/>
      <c r="BB182" s="35"/>
      <c r="BC182" s="35"/>
      <c r="BD182" s="35"/>
      <c r="BE182" s="35"/>
      <c r="BF182" s="35"/>
    </row>
    <row r="183" spans="1:58" ht="11.25" customHeight="1">
      <c r="A183" s="301" t="s">
        <v>916</v>
      </c>
      <c r="E183" s="11"/>
      <c r="F183" s="1406"/>
      <c r="G183" s="1421"/>
      <c r="H183" s="1410" t="s">
        <v>107</v>
      </c>
      <c r="I183" s="1411"/>
      <c r="J183" s="1412"/>
      <c r="K183" s="1413"/>
      <c r="L183" s="1127"/>
      <c r="M183" s="1128"/>
      <c r="N183" s="1423"/>
      <c r="O183" s="1424">
        <v>1</v>
      </c>
      <c r="P183" s="1416" t="s">
        <v>52</v>
      </c>
      <c r="Q183" s="1377" t="s">
        <v>18</v>
      </c>
      <c r="R183" s="1377" t="s">
        <v>18</v>
      </c>
      <c r="S183" s="1377" t="s">
        <v>18</v>
      </c>
      <c r="T183" s="1377" t="s">
        <v>18</v>
      </c>
      <c r="U183" s="1377" t="s">
        <v>18</v>
      </c>
      <c r="V183" s="1377" t="s">
        <v>18</v>
      </c>
      <c r="W183" s="1377" t="s">
        <v>18</v>
      </c>
      <c r="X183" s="1377" t="s">
        <v>18</v>
      </c>
      <c r="Y183" s="1377"/>
      <c r="Z183" s="664"/>
      <c r="AA183" s="665"/>
      <c r="AB183" s="665"/>
      <c r="AC183" s="669"/>
      <c r="AD183" s="669"/>
      <c r="AE183" s="670"/>
      <c r="AF183" s="1408"/>
      <c r="AG183" s="1403"/>
      <c r="AH183" s="1403"/>
      <c r="AI183" s="1408"/>
      <c r="AJ183" s="1403"/>
      <c r="AK183" s="1403"/>
      <c r="AL183" s="703"/>
      <c r="AM183" s="35"/>
      <c r="AN183" s="35"/>
      <c r="AO183" s="35"/>
      <c r="AP183" s="35"/>
      <c r="AQ183" s="35"/>
      <c r="AR183" s="35"/>
      <c r="AS183" s="35"/>
      <c r="AT183" s="35"/>
      <c r="AU183" s="35"/>
      <c r="AV183" s="35"/>
      <c r="AW183" s="35"/>
      <c r="AX183" s="35"/>
      <c r="AY183" s="35"/>
      <c r="AZ183" s="35"/>
      <c r="BA183" s="35"/>
      <c r="BB183" s="35"/>
      <c r="BC183" s="35"/>
      <c r="BD183" s="35"/>
      <c r="BE183" s="35"/>
      <c r="BF183" s="35"/>
    </row>
    <row r="184" spans="1:58" ht="11.25" customHeight="1">
      <c r="A184" s="301" t="s">
        <v>916</v>
      </c>
      <c r="E184" s="11"/>
      <c r="F184" s="1406"/>
      <c r="G184" s="1421"/>
      <c r="H184" s="1410" t="s">
        <v>107</v>
      </c>
      <c r="I184" s="1411"/>
      <c r="J184" s="1412"/>
      <c r="K184" s="1413"/>
      <c r="L184" s="1127"/>
      <c r="M184" s="1128"/>
      <c r="N184" s="1423"/>
      <c r="O184" s="1424"/>
      <c r="P184" s="1417"/>
      <c r="Q184" s="1377"/>
      <c r="R184" s="1377"/>
      <c r="S184" s="1409"/>
      <c r="T184" s="1377"/>
      <c r="U184" s="1377"/>
      <c r="V184" s="1377"/>
      <c r="W184" s="1377"/>
      <c r="X184" s="1377"/>
      <c r="Y184" s="1377"/>
      <c r="Z184" s="978"/>
      <c r="AA184" s="969">
        <v>1</v>
      </c>
      <c r="AB184" s="668" t="s">
        <v>951</v>
      </c>
      <c r="AC184" s="371">
        <v>1730.84</v>
      </c>
      <c r="AD184" s="668" t="str">
        <f>AB184</f>
        <v xml:space="preserve">      Прочие амортизационные отчисления</v>
      </c>
      <c r="AE184" s="371">
        <v>0</v>
      </c>
      <c r="AF184" s="1408"/>
      <c r="AG184" s="1403"/>
      <c r="AH184" s="1403"/>
      <c r="AI184" s="1408"/>
      <c r="AJ184" s="1403"/>
      <c r="AK184" s="1403"/>
      <c r="AL184" s="703"/>
      <c r="AM184" s="35"/>
      <c r="AN184" s="35"/>
      <c r="AO184" s="35"/>
      <c r="AP184" s="35"/>
      <c r="AQ184" s="35"/>
      <c r="AR184" s="35"/>
      <c r="AS184" s="35"/>
      <c r="AT184" s="35"/>
      <c r="AU184" s="35"/>
      <c r="AV184" s="35"/>
      <c r="AW184" s="35"/>
      <c r="AX184" s="35"/>
      <c r="AY184" s="35"/>
      <c r="AZ184" s="35"/>
      <c r="BA184" s="35"/>
      <c r="BB184" s="35"/>
      <c r="BC184" s="35"/>
      <c r="BD184" s="35"/>
      <c r="BE184" s="35"/>
      <c r="BF184" s="35"/>
    </row>
    <row r="185" spans="1:58" ht="11.25" customHeight="1">
      <c r="A185" s="301" t="s">
        <v>916</v>
      </c>
      <c r="E185" s="11"/>
      <c r="F185" s="1421"/>
      <c r="G185" s="1421"/>
      <c r="H185" s="1421"/>
      <c r="I185" s="1421"/>
      <c r="J185" s="1421"/>
      <c r="K185" s="1421"/>
      <c r="L185" s="1421"/>
      <c r="M185" s="1421"/>
      <c r="N185" s="1421"/>
      <c r="O185" s="1421"/>
      <c r="P185" s="1421"/>
      <c r="Q185" s="1421"/>
      <c r="R185" s="1421"/>
      <c r="S185" s="1421"/>
      <c r="T185" s="1421"/>
      <c r="U185" s="1421"/>
      <c r="V185" s="1421"/>
      <c r="W185" s="1421"/>
      <c r="X185" s="1421"/>
      <c r="Y185" s="1421"/>
      <c r="Z185" s="86" t="s">
        <v>117</v>
      </c>
      <c r="AA185" s="973" t="s">
        <v>106</v>
      </c>
      <c r="AB185" s="668" t="s">
        <v>966</v>
      </c>
      <c r="AC185" s="371">
        <v>3230.8</v>
      </c>
      <c r="AD185" s="668" t="str">
        <f>AB185</f>
        <v xml:space="preserve">  Прибыль направляемая на инвестиции</v>
      </c>
      <c r="AE185" s="371">
        <v>0</v>
      </c>
      <c r="AF185" s="1422"/>
      <c r="AG185" s="1419"/>
      <c r="AH185" s="1419"/>
      <c r="AI185" s="1422"/>
      <c r="AJ185" s="1419"/>
      <c r="AK185" s="1420"/>
      <c r="AL185" s="703"/>
      <c r="AM185" s="35"/>
      <c r="AN185" s="35"/>
      <c r="AO185" s="35"/>
      <c r="AP185" s="35"/>
      <c r="AQ185" s="35"/>
      <c r="AR185" s="35"/>
      <c r="AS185" s="35"/>
      <c r="AT185" s="35"/>
      <c r="AU185" s="35"/>
      <c r="AV185" s="35"/>
      <c r="AW185" s="35"/>
      <c r="AX185" s="35"/>
      <c r="AY185" s="35"/>
      <c r="AZ185" s="35"/>
      <c r="BA185" s="35"/>
      <c r="BB185" s="35"/>
      <c r="BC185" s="35"/>
      <c r="BD185" s="35"/>
      <c r="BE185" s="35"/>
      <c r="BF185" s="35"/>
    </row>
    <row r="186" spans="1:58" ht="11.25" customHeight="1">
      <c r="A186" s="301" t="s">
        <v>916</v>
      </c>
      <c r="E186" s="11"/>
      <c r="F186" s="1406"/>
      <c r="G186" s="1421"/>
      <c r="H186" s="1410" t="s">
        <v>107</v>
      </c>
      <c r="I186" s="1411"/>
      <c r="J186" s="1412"/>
      <c r="K186" s="1413"/>
      <c r="L186" s="1127"/>
      <c r="M186" s="1128"/>
      <c r="N186" s="1423"/>
      <c r="O186" s="1424"/>
      <c r="P186" s="1418"/>
      <c r="Q186" s="1377"/>
      <c r="R186" s="1377"/>
      <c r="S186" s="1409"/>
      <c r="T186" s="1377"/>
      <c r="U186" s="1377"/>
      <c r="V186" s="1377"/>
      <c r="W186" s="1377"/>
      <c r="X186" s="1377"/>
      <c r="Y186" s="1377"/>
      <c r="Z186" s="664"/>
      <c r="AA186" s="665"/>
      <c r="AB186" s="108" t="s">
        <v>952</v>
      </c>
      <c r="AC186" s="669"/>
      <c r="AD186" s="669"/>
      <c r="AE186" s="671"/>
      <c r="AF186" s="1408"/>
      <c r="AG186" s="1403"/>
      <c r="AH186" s="1403"/>
      <c r="AI186" s="1408"/>
      <c r="AJ186" s="1403"/>
      <c r="AK186" s="1403"/>
      <c r="AL186" s="703"/>
      <c r="AM186" s="35"/>
      <c r="AN186" s="35"/>
      <c r="AO186" s="35"/>
      <c r="AP186" s="35"/>
      <c r="AQ186" s="35"/>
      <c r="AR186" s="35"/>
      <c r="AS186" s="35"/>
      <c r="AT186" s="35"/>
      <c r="AU186" s="35"/>
      <c r="AV186" s="35"/>
      <c r="AW186" s="35"/>
      <c r="AX186" s="35"/>
      <c r="AY186" s="35"/>
      <c r="AZ186" s="35"/>
      <c r="BA186" s="35"/>
      <c r="BB186" s="35"/>
      <c r="BC186" s="35"/>
      <c r="BD186" s="35"/>
      <c r="BE186" s="35"/>
      <c r="BF186" s="35"/>
    </row>
    <row r="187" spans="1:58" ht="11.25" customHeight="1">
      <c r="A187" s="301" t="s">
        <v>916</v>
      </c>
      <c r="E187" s="11"/>
      <c r="F187" s="1406"/>
      <c r="G187" s="1421"/>
      <c r="H187" s="1410" t="s">
        <v>107</v>
      </c>
      <c r="I187" s="1411"/>
      <c r="J187" s="1412"/>
      <c r="K187" s="1413"/>
      <c r="L187" s="1127"/>
      <c r="M187" s="1128"/>
      <c r="N187" s="664"/>
      <c r="O187" s="665"/>
      <c r="P187" s="108" t="s">
        <v>953</v>
      </c>
      <c r="Q187" s="665"/>
      <c r="R187" s="665"/>
      <c r="S187" s="665"/>
      <c r="T187" s="665"/>
      <c r="U187" s="665"/>
      <c r="V187" s="665"/>
      <c r="W187" s="665"/>
      <c r="X187" s="665"/>
      <c r="Y187" s="665"/>
      <c r="Z187" s="665"/>
      <c r="AA187" s="665"/>
      <c r="AB187" s="665"/>
      <c r="AC187" s="665"/>
      <c r="AD187" s="665"/>
      <c r="AE187" s="672"/>
      <c r="AF187" s="1408"/>
      <c r="AG187" s="1403"/>
      <c r="AH187" s="1403"/>
      <c r="AI187" s="1408"/>
      <c r="AJ187" s="1403"/>
      <c r="AK187" s="1403"/>
      <c r="AL187" s="703"/>
      <c r="AM187" s="35"/>
      <c r="AN187" s="35"/>
      <c r="AO187" s="35"/>
      <c r="AP187" s="35"/>
      <c r="AQ187" s="35"/>
      <c r="AR187" s="35"/>
      <c r="AS187" s="35"/>
      <c r="AT187" s="35"/>
      <c r="AU187" s="35"/>
      <c r="AV187" s="35"/>
      <c r="AW187" s="35"/>
      <c r="AX187" s="35"/>
      <c r="AY187" s="35"/>
      <c r="AZ187" s="35"/>
      <c r="BA187" s="35"/>
      <c r="BB187" s="35"/>
      <c r="BC187" s="35"/>
      <c r="BD187" s="35"/>
      <c r="BE187" s="35"/>
      <c r="BF187" s="35"/>
    </row>
    <row r="188" spans="1:58" ht="11.25" customHeight="1">
      <c r="A188" s="301" t="s">
        <v>916</v>
      </c>
      <c r="E188" s="11"/>
      <c r="F188" s="1406"/>
      <c r="G188" s="1395" t="s">
        <v>117</v>
      </c>
      <c r="H188" s="1410" t="s">
        <v>89</v>
      </c>
      <c r="I188" s="1411"/>
      <c r="J188" s="1412"/>
      <c r="K188" s="1413" t="s">
        <v>985</v>
      </c>
      <c r="L188" s="1127" t="s">
        <v>52</v>
      </c>
      <c r="M188" s="1128"/>
      <c r="N188" s="1046"/>
      <c r="O188" s="666" t="s">
        <v>375</v>
      </c>
      <c r="P188" s="667"/>
      <c r="Q188" s="667"/>
      <c r="R188" s="667"/>
      <c r="S188" s="667"/>
      <c r="T188" s="667"/>
      <c r="U188" s="667"/>
      <c r="V188" s="667"/>
      <c r="W188" s="667"/>
      <c r="X188" s="667"/>
      <c r="Y188" s="667"/>
      <c r="Z188" s="667"/>
      <c r="AA188" s="667"/>
      <c r="AB188" s="667"/>
      <c r="AC188" s="667"/>
      <c r="AD188" s="667"/>
      <c r="AE188" s="667"/>
      <c r="AF188" s="1408">
        <v>2026</v>
      </c>
      <c r="AG188" s="1403" t="s">
        <v>949</v>
      </c>
      <c r="AH188" s="1403" t="s">
        <v>982</v>
      </c>
      <c r="AI188" s="1408">
        <v>2026</v>
      </c>
      <c r="AJ188" s="1403" t="s">
        <v>949</v>
      </c>
      <c r="AK188" s="1403" t="s">
        <v>982</v>
      </c>
      <c r="AL188" s="703"/>
      <c r="AM188" s="35"/>
      <c r="AN188" s="35"/>
      <c r="AO188" s="35"/>
      <c r="AP188" s="35"/>
      <c r="AQ188" s="35"/>
      <c r="AR188" s="35"/>
      <c r="AS188" s="35"/>
      <c r="AT188" s="35"/>
      <c r="AU188" s="35"/>
      <c r="AV188" s="35"/>
      <c r="AW188" s="35"/>
      <c r="AX188" s="35"/>
      <c r="AY188" s="35"/>
      <c r="AZ188" s="35"/>
      <c r="BA188" s="35"/>
      <c r="BB188" s="35"/>
      <c r="BC188" s="35"/>
      <c r="BD188" s="35"/>
      <c r="BE188" s="35"/>
      <c r="BF188" s="35"/>
    </row>
    <row r="189" spans="1:58" ht="11.25" customHeight="1">
      <c r="A189" s="301" t="s">
        <v>916</v>
      </c>
      <c r="E189" s="11"/>
      <c r="F189" s="1406"/>
      <c r="G189" s="1421"/>
      <c r="H189" s="1410" t="s">
        <v>88</v>
      </c>
      <c r="I189" s="1411"/>
      <c r="J189" s="1412"/>
      <c r="K189" s="1413"/>
      <c r="L189" s="1127"/>
      <c r="M189" s="1128"/>
      <c r="N189" s="1423"/>
      <c r="O189" s="1424">
        <v>1</v>
      </c>
      <c r="P189" s="1416" t="s">
        <v>52</v>
      </c>
      <c r="Q189" s="1377" t="s">
        <v>18</v>
      </c>
      <c r="R189" s="1377" t="s">
        <v>18</v>
      </c>
      <c r="S189" s="1377" t="s">
        <v>18</v>
      </c>
      <c r="T189" s="1377" t="s">
        <v>18</v>
      </c>
      <c r="U189" s="1377" t="s">
        <v>18</v>
      </c>
      <c r="V189" s="1377" t="s">
        <v>18</v>
      </c>
      <c r="W189" s="1377" t="s">
        <v>18</v>
      </c>
      <c r="X189" s="1377" t="s">
        <v>18</v>
      </c>
      <c r="Y189" s="1377"/>
      <c r="Z189" s="664"/>
      <c r="AA189" s="665"/>
      <c r="AB189" s="665"/>
      <c r="AC189" s="669"/>
      <c r="AD189" s="669"/>
      <c r="AE189" s="670"/>
      <c r="AF189" s="1408"/>
      <c r="AG189" s="1403"/>
      <c r="AH189" s="1403"/>
      <c r="AI189" s="1408"/>
      <c r="AJ189" s="1403"/>
      <c r="AK189" s="1403"/>
      <c r="AL189" s="703"/>
      <c r="AM189" s="35"/>
      <c r="AN189" s="35"/>
      <c r="AO189" s="35"/>
      <c r="AP189" s="35"/>
      <c r="AQ189" s="35"/>
      <c r="AR189" s="35"/>
      <c r="AS189" s="35"/>
      <c r="AT189" s="35"/>
      <c r="AU189" s="35"/>
      <c r="AV189" s="35"/>
      <c r="AW189" s="35"/>
      <c r="AX189" s="35"/>
      <c r="AY189" s="35"/>
      <c r="AZ189" s="35"/>
      <c r="BA189" s="35"/>
      <c r="BB189" s="35"/>
      <c r="BC189" s="35"/>
      <c r="BD189" s="35"/>
      <c r="BE189" s="35"/>
      <c r="BF189" s="35"/>
    </row>
    <row r="190" spans="1:58" ht="11.25" customHeight="1">
      <c r="A190" s="301" t="s">
        <v>916</v>
      </c>
      <c r="E190" s="11"/>
      <c r="F190" s="1406"/>
      <c r="G190" s="1421"/>
      <c r="H190" s="1410" t="s">
        <v>88</v>
      </c>
      <c r="I190" s="1411"/>
      <c r="J190" s="1412"/>
      <c r="K190" s="1413"/>
      <c r="L190" s="1127"/>
      <c r="M190" s="1128"/>
      <c r="N190" s="1423"/>
      <c r="O190" s="1424"/>
      <c r="P190" s="1417"/>
      <c r="Q190" s="1377"/>
      <c r="R190" s="1377"/>
      <c r="S190" s="1409"/>
      <c r="T190" s="1377"/>
      <c r="U190" s="1377"/>
      <c r="V190" s="1377"/>
      <c r="W190" s="1377"/>
      <c r="X190" s="1377"/>
      <c r="Y190" s="1377"/>
      <c r="Z190" s="978"/>
      <c r="AA190" s="969">
        <v>1</v>
      </c>
      <c r="AB190" s="668" t="s">
        <v>966</v>
      </c>
      <c r="AC190" s="371">
        <v>3300</v>
      </c>
      <c r="AD190" s="668" t="str">
        <f>AB190</f>
        <v xml:space="preserve">  Прибыль направляемая на инвестиции</v>
      </c>
      <c r="AE190" s="371">
        <v>0</v>
      </c>
      <c r="AF190" s="1408"/>
      <c r="AG190" s="1403"/>
      <c r="AH190" s="1403"/>
      <c r="AI190" s="1408"/>
      <c r="AJ190" s="1403"/>
      <c r="AK190" s="1403"/>
      <c r="AL190" s="703"/>
      <c r="AM190" s="35"/>
      <c r="AN190" s="35"/>
      <c r="AO190" s="35"/>
      <c r="AP190" s="35"/>
      <c r="AQ190" s="35"/>
      <c r="AR190" s="35"/>
      <c r="AS190" s="35"/>
      <c r="AT190" s="35"/>
      <c r="AU190" s="35"/>
      <c r="AV190" s="35"/>
      <c r="AW190" s="35"/>
      <c r="AX190" s="35"/>
      <c r="AY190" s="35"/>
      <c r="AZ190" s="35"/>
      <c r="BA190" s="35"/>
      <c r="BB190" s="35"/>
      <c r="BC190" s="35"/>
      <c r="BD190" s="35"/>
      <c r="BE190" s="35"/>
      <c r="BF190" s="35"/>
    </row>
    <row r="191" spans="1:58" ht="11.25" customHeight="1">
      <c r="A191" s="301" t="s">
        <v>916</v>
      </c>
      <c r="E191" s="11"/>
      <c r="F191" s="1406"/>
      <c r="G191" s="1421"/>
      <c r="H191" s="1410" t="s">
        <v>88</v>
      </c>
      <c r="I191" s="1411"/>
      <c r="J191" s="1412"/>
      <c r="K191" s="1413"/>
      <c r="L191" s="1127"/>
      <c r="M191" s="1128"/>
      <c r="N191" s="1423"/>
      <c r="O191" s="1424"/>
      <c r="P191" s="1418"/>
      <c r="Q191" s="1377"/>
      <c r="R191" s="1377"/>
      <c r="S191" s="1409"/>
      <c r="T191" s="1377"/>
      <c r="U191" s="1377"/>
      <c r="V191" s="1377"/>
      <c r="W191" s="1377"/>
      <c r="X191" s="1377"/>
      <c r="Y191" s="1377"/>
      <c r="Z191" s="664"/>
      <c r="AA191" s="665"/>
      <c r="AB191" s="108" t="s">
        <v>952</v>
      </c>
      <c r="AC191" s="669"/>
      <c r="AD191" s="669"/>
      <c r="AE191" s="671"/>
      <c r="AF191" s="1408"/>
      <c r="AG191" s="1403"/>
      <c r="AH191" s="1403"/>
      <c r="AI191" s="1408"/>
      <c r="AJ191" s="1403"/>
      <c r="AK191" s="1403"/>
      <c r="AL191" s="703"/>
      <c r="AM191" s="35"/>
      <c r="AN191" s="35"/>
      <c r="AO191" s="35"/>
      <c r="AP191" s="35"/>
      <c r="AQ191" s="35"/>
      <c r="AR191" s="35"/>
      <c r="AS191" s="35"/>
      <c r="AT191" s="35"/>
      <c r="AU191" s="35"/>
      <c r="AV191" s="35"/>
      <c r="AW191" s="35"/>
      <c r="AX191" s="35"/>
      <c r="AY191" s="35"/>
      <c r="AZ191" s="35"/>
      <c r="BA191" s="35"/>
      <c r="BB191" s="35"/>
      <c r="BC191" s="35"/>
      <c r="BD191" s="35"/>
      <c r="BE191" s="35"/>
      <c r="BF191" s="35"/>
    </row>
    <row r="192" spans="1:58" ht="11.25" customHeight="1">
      <c r="A192" s="301" t="s">
        <v>916</v>
      </c>
      <c r="E192" s="11"/>
      <c r="F192" s="1406"/>
      <c r="G192" s="1421"/>
      <c r="H192" s="1410" t="s">
        <v>88</v>
      </c>
      <c r="I192" s="1411"/>
      <c r="J192" s="1412"/>
      <c r="K192" s="1413"/>
      <c r="L192" s="1127"/>
      <c r="M192" s="1128"/>
      <c r="N192" s="664"/>
      <c r="O192" s="665"/>
      <c r="P192" s="108" t="s">
        <v>953</v>
      </c>
      <c r="Q192" s="665"/>
      <c r="R192" s="665"/>
      <c r="S192" s="665"/>
      <c r="T192" s="665"/>
      <c r="U192" s="665"/>
      <c r="V192" s="665"/>
      <c r="W192" s="665"/>
      <c r="X192" s="665"/>
      <c r="Y192" s="665"/>
      <c r="Z192" s="665"/>
      <c r="AA192" s="665"/>
      <c r="AB192" s="665"/>
      <c r="AC192" s="665"/>
      <c r="AD192" s="665"/>
      <c r="AE192" s="672"/>
      <c r="AF192" s="1408"/>
      <c r="AG192" s="1403"/>
      <c r="AH192" s="1403"/>
      <c r="AI192" s="1408"/>
      <c r="AJ192" s="1403"/>
      <c r="AK192" s="1403"/>
      <c r="AL192" s="703"/>
      <c r="AM192" s="35"/>
      <c r="AN192" s="35"/>
      <c r="AO192" s="35"/>
      <c r="AP192" s="35"/>
      <c r="AQ192" s="35"/>
      <c r="AR192" s="35"/>
      <c r="AS192" s="35"/>
      <c r="AT192" s="35"/>
      <c r="AU192" s="35"/>
      <c r="AV192" s="35"/>
      <c r="AW192" s="35"/>
      <c r="AX192" s="35"/>
      <c r="AY192" s="35"/>
      <c r="AZ192" s="35"/>
      <c r="BA192" s="35"/>
      <c r="BB192" s="35"/>
      <c r="BC192" s="35"/>
      <c r="BD192" s="35"/>
      <c r="BE192" s="35"/>
      <c r="BF192" s="35"/>
    </row>
    <row r="193" spans="1:58" ht="12" customHeight="1">
      <c r="A193" s="301" t="s">
        <v>916</v>
      </c>
      <c r="E193" s="11"/>
      <c r="F193" s="1407"/>
      <c r="G193" s="677"/>
      <c r="H193" s="677"/>
      <c r="I193" s="1404" t="s">
        <v>961</v>
      </c>
      <c r="J193" s="1404"/>
      <c r="K193" s="1404"/>
      <c r="L193" s="662"/>
      <c r="M193" s="662"/>
      <c r="N193" s="663"/>
      <c r="O193" s="663"/>
      <c r="P193" s="663"/>
      <c r="Q193" s="663"/>
      <c r="R193" s="663"/>
      <c r="S193" s="663"/>
      <c r="T193" s="663"/>
      <c r="U193" s="663"/>
      <c r="V193" s="663"/>
      <c r="W193" s="663"/>
      <c r="X193" s="663"/>
      <c r="Y193" s="663"/>
      <c r="Z193" s="663"/>
      <c r="AA193" s="663"/>
      <c r="AB193" s="663"/>
      <c r="AC193" s="663"/>
      <c r="AD193" s="663"/>
      <c r="AE193" s="663"/>
      <c r="AF193" s="663"/>
      <c r="AG193" s="662"/>
      <c r="AH193" s="662"/>
      <c r="AI193" s="663"/>
      <c r="AJ193" s="662"/>
      <c r="AK193" s="663"/>
      <c r="AL193" s="703"/>
      <c r="AM193" s="35"/>
      <c r="AN193" s="35"/>
      <c r="AO193" s="35"/>
      <c r="AP193" s="35"/>
      <c r="AQ193" s="35"/>
      <c r="AR193" s="35"/>
      <c r="AS193" s="35"/>
      <c r="AT193" s="35"/>
      <c r="AU193" s="35"/>
      <c r="AV193" s="35"/>
      <c r="AW193" s="35"/>
      <c r="AX193" s="35"/>
      <c r="AY193" s="35"/>
      <c r="AZ193" s="35"/>
      <c r="BA193" s="35"/>
      <c r="BB193" s="35"/>
      <c r="BC193" s="35"/>
      <c r="BD193" s="35"/>
      <c r="BE193" s="35"/>
      <c r="BF193" s="35"/>
    </row>
    <row r="194" spans="1:58" ht="11.25" customHeight="1">
      <c r="A194" s="301" t="s">
        <v>916</v>
      </c>
      <c r="E194" s="11"/>
      <c r="F194" s="1405">
        <v>2026</v>
      </c>
      <c r="G194" s="1410"/>
      <c r="H194" s="1410" t="s">
        <v>105</v>
      </c>
      <c r="I194" s="1411"/>
      <c r="J194" s="1412"/>
      <c r="K194" s="1413" t="s">
        <v>955</v>
      </c>
      <c r="L194" s="1403" t="s">
        <v>52</v>
      </c>
      <c r="M194" s="1128"/>
      <c r="N194" s="667"/>
      <c r="O194" s="666" t="s">
        <v>375</v>
      </c>
      <c r="P194" s="667"/>
      <c r="Q194" s="667"/>
      <c r="R194" s="667"/>
      <c r="S194" s="667"/>
      <c r="T194" s="667"/>
      <c r="U194" s="667"/>
      <c r="V194" s="667"/>
      <c r="W194" s="667"/>
      <c r="X194" s="667"/>
      <c r="Y194" s="667"/>
      <c r="Z194" s="667"/>
      <c r="AA194" s="667"/>
      <c r="AB194" s="667"/>
      <c r="AC194" s="667"/>
      <c r="AD194" s="667"/>
      <c r="AE194" s="667"/>
      <c r="AF194" s="1408">
        <v>2026</v>
      </c>
      <c r="AG194" s="1403" t="s">
        <v>949</v>
      </c>
      <c r="AH194" s="1403" t="s">
        <v>986</v>
      </c>
      <c r="AI194" s="1408">
        <v>2026</v>
      </c>
      <c r="AJ194" s="1403" t="s">
        <v>949</v>
      </c>
      <c r="AK194" s="1403" t="s">
        <v>986</v>
      </c>
      <c r="AL194" s="703"/>
      <c r="AM194" s="35"/>
      <c r="AN194" s="35"/>
      <c r="AO194" s="35"/>
      <c r="AP194" s="35"/>
      <c r="AQ194" s="35"/>
      <c r="AR194" s="35"/>
      <c r="AS194" s="35"/>
      <c r="AT194" s="35"/>
      <c r="AU194" s="35"/>
      <c r="AV194" s="35"/>
      <c r="AW194" s="35"/>
      <c r="AX194" s="35"/>
      <c r="AY194" s="35"/>
      <c r="AZ194" s="35"/>
      <c r="BA194" s="35"/>
      <c r="BB194" s="35"/>
      <c r="BC194" s="35"/>
      <c r="BD194" s="35"/>
      <c r="BE194" s="35"/>
      <c r="BF194" s="35"/>
    </row>
    <row r="195" spans="1:58" ht="11.25" customHeight="1">
      <c r="A195" s="301" t="s">
        <v>916</v>
      </c>
      <c r="E195" s="11"/>
      <c r="F195" s="1405"/>
      <c r="G195" s="1410"/>
      <c r="H195" s="1410"/>
      <c r="I195" s="1411"/>
      <c r="J195" s="1412"/>
      <c r="K195" s="1413"/>
      <c r="L195" s="1403"/>
      <c r="M195" s="1128"/>
      <c r="N195" s="1414"/>
      <c r="O195" s="1415">
        <v>1</v>
      </c>
      <c r="P195" s="1416" t="s">
        <v>52</v>
      </c>
      <c r="Q195" s="1377" t="s">
        <v>18</v>
      </c>
      <c r="R195" s="1377" t="s">
        <v>18</v>
      </c>
      <c r="S195" s="1377" t="s">
        <v>18</v>
      </c>
      <c r="T195" s="1377" t="s">
        <v>18</v>
      </c>
      <c r="U195" s="1377" t="s">
        <v>18</v>
      </c>
      <c r="V195" s="1377" t="s">
        <v>18</v>
      </c>
      <c r="W195" s="1377" t="s">
        <v>18</v>
      </c>
      <c r="X195" s="1377" t="s">
        <v>18</v>
      </c>
      <c r="Y195" s="1377"/>
      <c r="Z195" s="664"/>
      <c r="AA195" s="665"/>
      <c r="AB195" s="665"/>
      <c r="AC195" s="669"/>
      <c r="AD195" s="669"/>
      <c r="AE195" s="670"/>
      <c r="AF195" s="1408"/>
      <c r="AG195" s="1403"/>
      <c r="AH195" s="1403"/>
      <c r="AI195" s="1408"/>
      <c r="AJ195" s="1403"/>
      <c r="AK195" s="1403"/>
      <c r="AL195" s="703"/>
      <c r="AM195" s="35"/>
      <c r="AN195" s="35"/>
      <c r="AO195" s="35"/>
      <c r="AP195" s="35"/>
      <c r="AQ195" s="35"/>
      <c r="AR195" s="35"/>
      <c r="AS195" s="35"/>
      <c r="AT195" s="35"/>
      <c r="AU195" s="35"/>
      <c r="AV195" s="35"/>
      <c r="AW195" s="35"/>
      <c r="AX195" s="35"/>
      <c r="AY195" s="35"/>
      <c r="AZ195" s="35"/>
      <c r="BA195" s="35"/>
      <c r="BB195" s="35"/>
      <c r="BC195" s="35"/>
      <c r="BD195" s="35"/>
      <c r="BE195" s="35"/>
      <c r="BF195" s="35"/>
    </row>
    <row r="196" spans="1:58" ht="11.25" customHeight="1">
      <c r="A196" s="301" t="s">
        <v>916</v>
      </c>
      <c r="E196" s="11"/>
      <c r="F196" s="1405"/>
      <c r="G196" s="1410"/>
      <c r="H196" s="1410"/>
      <c r="I196" s="1411"/>
      <c r="J196" s="1412"/>
      <c r="K196" s="1413"/>
      <c r="L196" s="1403"/>
      <c r="M196" s="1128"/>
      <c r="N196" s="1414"/>
      <c r="O196" s="1415"/>
      <c r="P196" s="1417"/>
      <c r="Q196" s="1377"/>
      <c r="R196" s="1377"/>
      <c r="S196" s="1409"/>
      <c r="T196" s="1377"/>
      <c r="U196" s="1377"/>
      <c r="V196" s="1377"/>
      <c r="W196" s="1377"/>
      <c r="X196" s="1377"/>
      <c r="Y196" s="1377"/>
      <c r="Z196" s="978"/>
      <c r="AA196" s="969">
        <v>1</v>
      </c>
      <c r="AB196" s="668" t="s">
        <v>951</v>
      </c>
      <c r="AC196" s="371">
        <v>38367.06</v>
      </c>
      <c r="AD196" s="668" t="str">
        <f>AB196</f>
        <v xml:space="preserve">      Прочие амортизационные отчисления</v>
      </c>
      <c r="AE196" s="371">
        <v>0</v>
      </c>
      <c r="AF196" s="1408"/>
      <c r="AG196" s="1403"/>
      <c r="AH196" s="1403"/>
      <c r="AI196" s="1408"/>
      <c r="AJ196" s="1403"/>
      <c r="AK196" s="1403"/>
      <c r="AL196" s="703"/>
      <c r="AM196" s="35"/>
      <c r="AN196" s="35"/>
      <c r="AO196" s="35"/>
      <c r="AP196" s="35"/>
      <c r="AQ196" s="35"/>
      <c r="AR196" s="35"/>
      <c r="AS196" s="35"/>
      <c r="AT196" s="35"/>
      <c r="AU196" s="35"/>
      <c r="AV196" s="35"/>
      <c r="AW196" s="35"/>
      <c r="AX196" s="35"/>
      <c r="AY196" s="35"/>
      <c r="AZ196" s="35"/>
      <c r="BA196" s="35"/>
      <c r="BB196" s="35"/>
      <c r="BC196" s="35"/>
      <c r="BD196" s="35"/>
      <c r="BE196" s="35"/>
      <c r="BF196" s="35"/>
    </row>
    <row r="197" spans="1:58" ht="11.25" customHeight="1">
      <c r="A197" s="301" t="s">
        <v>916</v>
      </c>
      <c r="E197" s="11"/>
      <c r="F197" s="1421"/>
      <c r="G197" s="1421"/>
      <c r="H197" s="1421"/>
      <c r="I197" s="1421"/>
      <c r="J197" s="1421"/>
      <c r="K197" s="1421"/>
      <c r="L197" s="1421"/>
      <c r="M197" s="1421"/>
      <c r="N197" s="1421"/>
      <c r="O197" s="1421"/>
      <c r="P197" s="1421"/>
      <c r="Q197" s="1421"/>
      <c r="R197" s="1421"/>
      <c r="S197" s="1421"/>
      <c r="T197" s="1421"/>
      <c r="U197" s="1421"/>
      <c r="V197" s="1421"/>
      <c r="W197" s="1421"/>
      <c r="X197" s="1421"/>
      <c r="Y197" s="1421"/>
      <c r="Z197" s="86" t="s">
        <v>117</v>
      </c>
      <c r="AA197" s="973" t="s">
        <v>106</v>
      </c>
      <c r="AB197" s="668" t="s">
        <v>967</v>
      </c>
      <c r="AC197" s="371">
        <v>9573.69</v>
      </c>
      <c r="AD197" s="668" t="str">
        <f>AB197</f>
        <v xml:space="preserve">  Прочие собственные средства</v>
      </c>
      <c r="AE197" s="371">
        <v>0</v>
      </c>
      <c r="AF197" s="1422"/>
      <c r="AG197" s="1419"/>
      <c r="AH197" s="1419"/>
      <c r="AI197" s="1422"/>
      <c r="AJ197" s="1419"/>
      <c r="AK197" s="1420"/>
      <c r="AL197" s="703"/>
      <c r="AM197" s="35"/>
      <c r="AN197" s="35"/>
      <c r="AO197" s="35"/>
      <c r="AP197" s="35"/>
      <c r="AQ197" s="35"/>
      <c r="AR197" s="35"/>
      <c r="AS197" s="35"/>
      <c r="AT197" s="35"/>
      <c r="AU197" s="35"/>
      <c r="AV197" s="35"/>
      <c r="AW197" s="35"/>
      <c r="AX197" s="35"/>
      <c r="AY197" s="35"/>
      <c r="AZ197" s="35"/>
      <c r="BA197" s="35"/>
      <c r="BB197" s="35"/>
      <c r="BC197" s="35"/>
      <c r="BD197" s="35"/>
      <c r="BE197" s="35"/>
      <c r="BF197" s="35"/>
    </row>
    <row r="198" spans="1:58" ht="11.25" customHeight="1">
      <c r="A198" s="301" t="s">
        <v>916</v>
      </c>
      <c r="E198" s="11"/>
      <c r="F198" s="1405"/>
      <c r="G198" s="1410"/>
      <c r="H198" s="1410"/>
      <c r="I198" s="1411"/>
      <c r="J198" s="1412"/>
      <c r="K198" s="1413"/>
      <c r="L198" s="1403"/>
      <c r="M198" s="1128"/>
      <c r="N198" s="1414"/>
      <c r="O198" s="1415"/>
      <c r="P198" s="1418"/>
      <c r="Q198" s="1377"/>
      <c r="R198" s="1377"/>
      <c r="S198" s="1409"/>
      <c r="T198" s="1377"/>
      <c r="U198" s="1377"/>
      <c r="V198" s="1377"/>
      <c r="W198" s="1377"/>
      <c r="X198" s="1377"/>
      <c r="Y198" s="1377"/>
      <c r="Z198" s="664"/>
      <c r="AA198" s="665"/>
      <c r="AB198" s="108" t="s">
        <v>952</v>
      </c>
      <c r="AC198" s="669"/>
      <c r="AD198" s="669"/>
      <c r="AE198" s="671"/>
      <c r="AF198" s="1408"/>
      <c r="AG198" s="1403"/>
      <c r="AH198" s="1403"/>
      <c r="AI198" s="1408"/>
      <c r="AJ198" s="1403"/>
      <c r="AK198" s="1403"/>
      <c r="AL198" s="703"/>
      <c r="AM198" s="35"/>
      <c r="AN198" s="35"/>
      <c r="AO198" s="35"/>
      <c r="AP198" s="35"/>
      <c r="AQ198" s="35"/>
      <c r="AR198" s="35"/>
      <c r="AS198" s="35"/>
      <c r="AT198" s="35"/>
      <c r="AU198" s="35"/>
      <c r="AV198" s="35"/>
      <c r="AW198" s="35"/>
      <c r="AX198" s="35"/>
      <c r="AY198" s="35"/>
      <c r="AZ198" s="35"/>
      <c r="BA198" s="35"/>
      <c r="BB198" s="35"/>
      <c r="BC198" s="35"/>
      <c r="BD198" s="35"/>
      <c r="BE198" s="35"/>
      <c r="BF198" s="35"/>
    </row>
    <row r="199" spans="1:58" ht="11.25" customHeight="1">
      <c r="A199" s="301" t="s">
        <v>916</v>
      </c>
      <c r="E199" s="11"/>
      <c r="F199" s="1405"/>
      <c r="G199" s="1410"/>
      <c r="H199" s="1410"/>
      <c r="I199" s="1411"/>
      <c r="J199" s="1412"/>
      <c r="K199" s="1413"/>
      <c r="L199" s="1403"/>
      <c r="M199" s="1128"/>
      <c r="N199" s="665"/>
      <c r="O199" s="665"/>
      <c r="P199" s="108" t="s">
        <v>953</v>
      </c>
      <c r="Q199" s="665"/>
      <c r="R199" s="665"/>
      <c r="S199" s="665"/>
      <c r="T199" s="665"/>
      <c r="U199" s="665"/>
      <c r="V199" s="665"/>
      <c r="W199" s="665"/>
      <c r="X199" s="665"/>
      <c r="Y199" s="665"/>
      <c r="Z199" s="665"/>
      <c r="AA199" s="665"/>
      <c r="AB199" s="665"/>
      <c r="AC199" s="665"/>
      <c r="AD199" s="665"/>
      <c r="AE199" s="672"/>
      <c r="AF199" s="1408"/>
      <c r="AG199" s="1403"/>
      <c r="AH199" s="1403"/>
      <c r="AI199" s="1408"/>
      <c r="AJ199" s="1403"/>
      <c r="AK199" s="1403"/>
      <c r="AL199" s="703"/>
      <c r="AM199" s="35"/>
      <c r="AN199" s="35"/>
      <c r="AO199" s="35"/>
      <c r="AP199" s="35"/>
      <c r="AQ199" s="35"/>
      <c r="AR199" s="35"/>
      <c r="AS199" s="35"/>
      <c r="AT199" s="35"/>
      <c r="AU199" s="35"/>
      <c r="AV199" s="35"/>
      <c r="AW199" s="35"/>
      <c r="AX199" s="35"/>
      <c r="AY199" s="35"/>
      <c r="AZ199" s="35"/>
      <c r="BA199" s="35"/>
      <c r="BB199" s="35"/>
      <c r="BC199" s="35"/>
      <c r="BD199" s="35"/>
      <c r="BE199" s="35"/>
      <c r="BF199" s="35"/>
    </row>
    <row r="200" spans="1:58" ht="11.25" customHeight="1">
      <c r="A200" s="301" t="s">
        <v>916</v>
      </c>
      <c r="E200" s="11"/>
      <c r="F200" s="1406"/>
      <c r="G200" s="1395" t="s">
        <v>117</v>
      </c>
      <c r="H200" s="1410" t="s">
        <v>106</v>
      </c>
      <c r="I200" s="1411"/>
      <c r="J200" s="1412"/>
      <c r="K200" s="1413" t="s">
        <v>987</v>
      </c>
      <c r="L200" s="1127" t="s">
        <v>52</v>
      </c>
      <c r="M200" s="1128"/>
      <c r="N200" s="1046"/>
      <c r="O200" s="666" t="s">
        <v>375</v>
      </c>
      <c r="P200" s="667"/>
      <c r="Q200" s="667"/>
      <c r="R200" s="667"/>
      <c r="S200" s="667"/>
      <c r="T200" s="667"/>
      <c r="U200" s="667"/>
      <c r="V200" s="667"/>
      <c r="W200" s="667"/>
      <c r="X200" s="667"/>
      <c r="Y200" s="667"/>
      <c r="Z200" s="667"/>
      <c r="AA200" s="667"/>
      <c r="AB200" s="667"/>
      <c r="AC200" s="667"/>
      <c r="AD200" s="667"/>
      <c r="AE200" s="667"/>
      <c r="AF200" s="1408">
        <v>2026</v>
      </c>
      <c r="AG200" s="1403" t="s">
        <v>949</v>
      </c>
      <c r="AH200" s="1403" t="s">
        <v>986</v>
      </c>
      <c r="AI200" s="1408">
        <v>2026</v>
      </c>
      <c r="AJ200" s="1403" t="s">
        <v>949</v>
      </c>
      <c r="AK200" s="1403" t="s">
        <v>986</v>
      </c>
      <c r="AL200" s="703"/>
      <c r="AM200" s="35"/>
      <c r="AN200" s="35"/>
      <c r="AO200" s="35"/>
      <c r="AP200" s="35"/>
      <c r="AQ200" s="35"/>
      <c r="AR200" s="35"/>
      <c r="AS200" s="35"/>
      <c r="AT200" s="35"/>
      <c r="AU200" s="35"/>
      <c r="AV200" s="35"/>
      <c r="AW200" s="35"/>
      <c r="AX200" s="35"/>
      <c r="AY200" s="35"/>
      <c r="AZ200" s="35"/>
      <c r="BA200" s="35"/>
      <c r="BB200" s="35"/>
      <c r="BC200" s="35"/>
      <c r="BD200" s="35"/>
      <c r="BE200" s="35"/>
      <c r="BF200" s="35"/>
    </row>
    <row r="201" spans="1:58" ht="11.25" customHeight="1">
      <c r="A201" s="301" t="s">
        <v>916</v>
      </c>
      <c r="E201" s="11"/>
      <c r="F201" s="1406"/>
      <c r="G201" s="1421"/>
      <c r="H201" s="1410" t="s">
        <v>105</v>
      </c>
      <c r="I201" s="1411"/>
      <c r="J201" s="1412"/>
      <c r="K201" s="1413"/>
      <c r="L201" s="1127"/>
      <c r="M201" s="1128"/>
      <c r="N201" s="1423"/>
      <c r="O201" s="1424">
        <v>1</v>
      </c>
      <c r="P201" s="1416" t="s">
        <v>52</v>
      </c>
      <c r="Q201" s="1377" t="s">
        <v>18</v>
      </c>
      <c r="R201" s="1377" t="s">
        <v>18</v>
      </c>
      <c r="S201" s="1377" t="s">
        <v>18</v>
      </c>
      <c r="T201" s="1377" t="s">
        <v>18</v>
      </c>
      <c r="U201" s="1377" t="s">
        <v>18</v>
      </c>
      <c r="V201" s="1377" t="s">
        <v>18</v>
      </c>
      <c r="W201" s="1377" t="s">
        <v>18</v>
      </c>
      <c r="X201" s="1377" t="s">
        <v>18</v>
      </c>
      <c r="Y201" s="1377"/>
      <c r="Z201" s="664"/>
      <c r="AA201" s="665"/>
      <c r="AB201" s="665"/>
      <c r="AC201" s="669"/>
      <c r="AD201" s="669"/>
      <c r="AE201" s="670"/>
      <c r="AF201" s="1408"/>
      <c r="AG201" s="1403"/>
      <c r="AH201" s="1403"/>
      <c r="AI201" s="1408"/>
      <c r="AJ201" s="1403"/>
      <c r="AK201" s="1403"/>
      <c r="AL201" s="703"/>
      <c r="AM201" s="35"/>
      <c r="AN201" s="35"/>
      <c r="AO201" s="35"/>
      <c r="AP201" s="35"/>
      <c r="AQ201" s="35"/>
      <c r="AR201" s="35"/>
      <c r="AS201" s="35"/>
      <c r="AT201" s="35"/>
      <c r="AU201" s="35"/>
      <c r="AV201" s="35"/>
      <c r="AW201" s="35"/>
      <c r="AX201" s="35"/>
      <c r="AY201" s="35"/>
      <c r="AZ201" s="35"/>
      <c r="BA201" s="35"/>
      <c r="BB201" s="35"/>
      <c r="BC201" s="35"/>
      <c r="BD201" s="35"/>
      <c r="BE201" s="35"/>
      <c r="BF201" s="35"/>
    </row>
    <row r="202" spans="1:58" ht="11.25" customHeight="1">
      <c r="A202" s="301" t="s">
        <v>916</v>
      </c>
      <c r="E202" s="11"/>
      <c r="F202" s="1406"/>
      <c r="G202" s="1421"/>
      <c r="H202" s="1410" t="s">
        <v>105</v>
      </c>
      <c r="I202" s="1411"/>
      <c r="J202" s="1412"/>
      <c r="K202" s="1413"/>
      <c r="L202" s="1127"/>
      <c r="M202" s="1128"/>
      <c r="N202" s="1423"/>
      <c r="O202" s="1424"/>
      <c r="P202" s="1417"/>
      <c r="Q202" s="1377"/>
      <c r="R202" s="1377"/>
      <c r="S202" s="1409"/>
      <c r="T202" s="1377"/>
      <c r="U202" s="1377"/>
      <c r="V202" s="1377"/>
      <c r="W202" s="1377"/>
      <c r="X202" s="1377"/>
      <c r="Y202" s="1377"/>
      <c r="Z202" s="978"/>
      <c r="AA202" s="969">
        <v>1</v>
      </c>
      <c r="AB202" s="668" t="s">
        <v>951</v>
      </c>
      <c r="AC202" s="371">
        <v>11708.53</v>
      </c>
      <c r="AD202" s="668" t="str">
        <f>AB202</f>
        <v xml:space="preserve">      Прочие амортизационные отчисления</v>
      </c>
      <c r="AE202" s="371">
        <v>0</v>
      </c>
      <c r="AF202" s="1408"/>
      <c r="AG202" s="1403"/>
      <c r="AH202" s="1403"/>
      <c r="AI202" s="1408"/>
      <c r="AJ202" s="1403"/>
      <c r="AK202" s="1403"/>
      <c r="AL202" s="703"/>
      <c r="AM202" s="35"/>
      <c r="AN202" s="35"/>
      <c r="AO202" s="35"/>
      <c r="AP202" s="35"/>
      <c r="AQ202" s="35"/>
      <c r="AR202" s="35"/>
      <c r="AS202" s="35"/>
      <c r="AT202" s="35"/>
      <c r="AU202" s="35"/>
      <c r="AV202" s="35"/>
      <c r="AW202" s="35"/>
      <c r="AX202" s="35"/>
      <c r="AY202" s="35"/>
      <c r="AZ202" s="35"/>
      <c r="BA202" s="35"/>
      <c r="BB202" s="35"/>
      <c r="BC202" s="35"/>
      <c r="BD202" s="35"/>
      <c r="BE202" s="35"/>
      <c r="BF202" s="35"/>
    </row>
    <row r="203" spans="1:58" ht="11.25" customHeight="1">
      <c r="A203" s="301" t="s">
        <v>916</v>
      </c>
      <c r="E203" s="11"/>
      <c r="F203" s="1406"/>
      <c r="G203" s="1421"/>
      <c r="H203" s="1410" t="s">
        <v>105</v>
      </c>
      <c r="I203" s="1411"/>
      <c r="J203" s="1412"/>
      <c r="K203" s="1413"/>
      <c r="L203" s="1127"/>
      <c r="M203" s="1128"/>
      <c r="N203" s="1423"/>
      <c r="O203" s="1424"/>
      <c r="P203" s="1418"/>
      <c r="Q203" s="1377"/>
      <c r="R203" s="1377"/>
      <c r="S203" s="1409"/>
      <c r="T203" s="1377"/>
      <c r="U203" s="1377"/>
      <c r="V203" s="1377"/>
      <c r="W203" s="1377"/>
      <c r="X203" s="1377"/>
      <c r="Y203" s="1377"/>
      <c r="Z203" s="664"/>
      <c r="AA203" s="665"/>
      <c r="AB203" s="108" t="s">
        <v>952</v>
      </c>
      <c r="AC203" s="669"/>
      <c r="AD203" s="669"/>
      <c r="AE203" s="671"/>
      <c r="AF203" s="1408"/>
      <c r="AG203" s="1403"/>
      <c r="AH203" s="1403"/>
      <c r="AI203" s="1408"/>
      <c r="AJ203" s="1403"/>
      <c r="AK203" s="1403"/>
      <c r="AL203" s="703"/>
      <c r="AM203" s="35"/>
      <c r="AN203" s="35"/>
      <c r="AO203" s="35"/>
      <c r="AP203" s="35"/>
      <c r="AQ203" s="35"/>
      <c r="AR203" s="35"/>
      <c r="AS203" s="35"/>
      <c r="AT203" s="35"/>
      <c r="AU203" s="35"/>
      <c r="AV203" s="35"/>
      <c r="AW203" s="35"/>
      <c r="AX203" s="35"/>
      <c r="AY203" s="35"/>
      <c r="AZ203" s="35"/>
      <c r="BA203" s="35"/>
      <c r="BB203" s="35"/>
      <c r="BC203" s="35"/>
      <c r="BD203" s="35"/>
      <c r="BE203" s="35"/>
      <c r="BF203" s="35"/>
    </row>
    <row r="204" spans="1:58" ht="11.25" customHeight="1">
      <c r="A204" s="301" t="s">
        <v>916</v>
      </c>
      <c r="E204" s="11"/>
      <c r="F204" s="1406"/>
      <c r="G204" s="1421"/>
      <c r="H204" s="1410" t="s">
        <v>105</v>
      </c>
      <c r="I204" s="1411"/>
      <c r="J204" s="1412"/>
      <c r="K204" s="1413"/>
      <c r="L204" s="1127"/>
      <c r="M204" s="1128"/>
      <c r="N204" s="664"/>
      <c r="O204" s="665"/>
      <c r="P204" s="108" t="s">
        <v>953</v>
      </c>
      <c r="Q204" s="665"/>
      <c r="R204" s="665"/>
      <c r="S204" s="665"/>
      <c r="T204" s="665"/>
      <c r="U204" s="665"/>
      <c r="V204" s="665"/>
      <c r="W204" s="665"/>
      <c r="X204" s="665"/>
      <c r="Y204" s="665"/>
      <c r="Z204" s="665"/>
      <c r="AA204" s="665"/>
      <c r="AB204" s="665"/>
      <c r="AC204" s="665"/>
      <c r="AD204" s="665"/>
      <c r="AE204" s="672"/>
      <c r="AF204" s="1408"/>
      <c r="AG204" s="1403"/>
      <c r="AH204" s="1403"/>
      <c r="AI204" s="1408"/>
      <c r="AJ204" s="1403"/>
      <c r="AK204" s="1403"/>
      <c r="AL204" s="703"/>
      <c r="AM204" s="35"/>
      <c r="AN204" s="35"/>
      <c r="AO204" s="35"/>
      <c r="AP204" s="35"/>
      <c r="AQ204" s="35"/>
      <c r="AR204" s="35"/>
      <c r="AS204" s="35"/>
      <c r="AT204" s="35"/>
      <c r="AU204" s="35"/>
      <c r="AV204" s="35"/>
      <c r="AW204" s="35"/>
      <c r="AX204" s="35"/>
      <c r="AY204" s="35"/>
      <c r="AZ204" s="35"/>
      <c r="BA204" s="35"/>
      <c r="BB204" s="35"/>
      <c r="BC204" s="35"/>
      <c r="BD204" s="35"/>
      <c r="BE204" s="35"/>
      <c r="BF204" s="35"/>
    </row>
    <row r="205" spans="1:58" ht="11.25" customHeight="1">
      <c r="A205" s="301" t="s">
        <v>916</v>
      </c>
      <c r="E205" s="11"/>
      <c r="F205" s="1406"/>
      <c r="G205" s="1395" t="s">
        <v>117</v>
      </c>
      <c r="H205" s="1410" t="s">
        <v>86</v>
      </c>
      <c r="I205" s="1411"/>
      <c r="J205" s="1412"/>
      <c r="K205" s="1413" t="s">
        <v>984</v>
      </c>
      <c r="L205" s="1127" t="s">
        <v>52</v>
      </c>
      <c r="M205" s="1128"/>
      <c r="N205" s="1046"/>
      <c r="O205" s="666" t="s">
        <v>375</v>
      </c>
      <c r="P205" s="667"/>
      <c r="Q205" s="667"/>
      <c r="R205" s="667"/>
      <c r="S205" s="667"/>
      <c r="T205" s="667"/>
      <c r="U205" s="667"/>
      <c r="V205" s="667"/>
      <c r="W205" s="667"/>
      <c r="X205" s="667"/>
      <c r="Y205" s="667"/>
      <c r="Z205" s="667"/>
      <c r="AA205" s="667"/>
      <c r="AB205" s="667"/>
      <c r="AC205" s="667"/>
      <c r="AD205" s="667"/>
      <c r="AE205" s="667"/>
      <c r="AF205" s="1408">
        <v>2026</v>
      </c>
      <c r="AG205" s="1403" t="s">
        <v>949</v>
      </c>
      <c r="AH205" s="1403" t="s">
        <v>986</v>
      </c>
      <c r="AI205" s="1408">
        <v>2026</v>
      </c>
      <c r="AJ205" s="1403" t="s">
        <v>949</v>
      </c>
      <c r="AK205" s="1403" t="s">
        <v>986</v>
      </c>
      <c r="AL205" s="703"/>
      <c r="AM205" s="35"/>
      <c r="AN205" s="35"/>
      <c r="AO205" s="35"/>
      <c r="AP205" s="35"/>
      <c r="AQ205" s="35"/>
      <c r="AR205" s="35"/>
      <c r="AS205" s="35"/>
      <c r="AT205" s="35"/>
      <c r="AU205" s="35"/>
      <c r="AV205" s="35"/>
      <c r="AW205" s="35"/>
      <c r="AX205" s="35"/>
      <c r="AY205" s="35"/>
      <c r="AZ205" s="35"/>
      <c r="BA205" s="35"/>
      <c r="BB205" s="35"/>
      <c r="BC205" s="35"/>
      <c r="BD205" s="35"/>
      <c r="BE205" s="35"/>
      <c r="BF205" s="35"/>
    </row>
    <row r="206" spans="1:58" ht="11.25" customHeight="1">
      <c r="A206" s="301" t="s">
        <v>916</v>
      </c>
      <c r="E206" s="11"/>
      <c r="F206" s="1406"/>
      <c r="G206" s="1421"/>
      <c r="H206" s="1410" t="s">
        <v>106</v>
      </c>
      <c r="I206" s="1411"/>
      <c r="J206" s="1412"/>
      <c r="K206" s="1413"/>
      <c r="L206" s="1127"/>
      <c r="M206" s="1128"/>
      <c r="N206" s="1423"/>
      <c r="O206" s="1424">
        <v>1</v>
      </c>
      <c r="P206" s="1416" t="s">
        <v>52</v>
      </c>
      <c r="Q206" s="1377" t="s">
        <v>18</v>
      </c>
      <c r="R206" s="1377" t="s">
        <v>18</v>
      </c>
      <c r="S206" s="1377" t="s">
        <v>18</v>
      </c>
      <c r="T206" s="1377" t="s">
        <v>18</v>
      </c>
      <c r="U206" s="1377" t="s">
        <v>18</v>
      </c>
      <c r="V206" s="1377" t="s">
        <v>18</v>
      </c>
      <c r="W206" s="1377" t="s">
        <v>18</v>
      </c>
      <c r="X206" s="1377" t="s">
        <v>18</v>
      </c>
      <c r="Y206" s="1377"/>
      <c r="Z206" s="664"/>
      <c r="AA206" s="665"/>
      <c r="AB206" s="665"/>
      <c r="AC206" s="669"/>
      <c r="AD206" s="669"/>
      <c r="AE206" s="670"/>
      <c r="AF206" s="1408"/>
      <c r="AG206" s="1403"/>
      <c r="AH206" s="1403"/>
      <c r="AI206" s="1408"/>
      <c r="AJ206" s="1403"/>
      <c r="AK206" s="1403"/>
      <c r="AL206" s="703"/>
      <c r="AM206" s="35"/>
      <c r="AN206" s="35"/>
      <c r="AO206" s="35"/>
      <c r="AP206" s="35"/>
      <c r="AQ206" s="35"/>
      <c r="AR206" s="35"/>
      <c r="AS206" s="35"/>
      <c r="AT206" s="35"/>
      <c r="AU206" s="35"/>
      <c r="AV206" s="35"/>
      <c r="AW206" s="35"/>
      <c r="AX206" s="35"/>
      <c r="AY206" s="35"/>
      <c r="AZ206" s="35"/>
      <c r="BA206" s="35"/>
      <c r="BB206" s="35"/>
      <c r="BC206" s="35"/>
      <c r="BD206" s="35"/>
      <c r="BE206" s="35"/>
      <c r="BF206" s="35"/>
    </row>
    <row r="207" spans="1:58" ht="11.25" customHeight="1">
      <c r="A207" s="301" t="s">
        <v>916</v>
      </c>
      <c r="E207" s="11"/>
      <c r="F207" s="1406"/>
      <c r="G207" s="1421"/>
      <c r="H207" s="1410" t="s">
        <v>106</v>
      </c>
      <c r="I207" s="1411"/>
      <c r="J207" s="1412"/>
      <c r="K207" s="1413"/>
      <c r="L207" s="1127"/>
      <c r="M207" s="1128"/>
      <c r="N207" s="1423"/>
      <c r="O207" s="1424"/>
      <c r="P207" s="1417"/>
      <c r="Q207" s="1377"/>
      <c r="R207" s="1377"/>
      <c r="S207" s="1409"/>
      <c r="T207" s="1377"/>
      <c r="U207" s="1377"/>
      <c r="V207" s="1377"/>
      <c r="W207" s="1377"/>
      <c r="X207" s="1377"/>
      <c r="Y207" s="1377"/>
      <c r="Z207" s="978"/>
      <c r="AA207" s="969">
        <v>1</v>
      </c>
      <c r="AB207" s="668" t="s">
        <v>951</v>
      </c>
      <c r="AC207" s="371">
        <v>10506.17</v>
      </c>
      <c r="AD207" s="668" t="str">
        <f>AB207</f>
        <v xml:space="preserve">      Прочие амортизационные отчисления</v>
      </c>
      <c r="AE207" s="371">
        <v>0</v>
      </c>
      <c r="AF207" s="1408"/>
      <c r="AG207" s="1403"/>
      <c r="AH207" s="1403"/>
      <c r="AI207" s="1408"/>
      <c r="AJ207" s="1403"/>
      <c r="AK207" s="1403"/>
      <c r="AL207" s="703"/>
      <c r="AM207" s="35"/>
      <c r="AN207" s="35"/>
      <c r="AO207" s="35"/>
      <c r="AP207" s="35"/>
      <c r="AQ207" s="35"/>
      <c r="AR207" s="35"/>
      <c r="AS207" s="35"/>
      <c r="AT207" s="35"/>
      <c r="AU207" s="35"/>
      <c r="AV207" s="35"/>
      <c r="AW207" s="35"/>
      <c r="AX207" s="35"/>
      <c r="AY207" s="35"/>
      <c r="AZ207" s="35"/>
      <c r="BA207" s="35"/>
      <c r="BB207" s="35"/>
      <c r="BC207" s="35"/>
      <c r="BD207" s="35"/>
      <c r="BE207" s="35"/>
      <c r="BF207" s="35"/>
    </row>
    <row r="208" spans="1:58" ht="11.25" customHeight="1">
      <c r="A208" s="301" t="s">
        <v>916</v>
      </c>
      <c r="E208" s="11"/>
      <c r="F208" s="1406"/>
      <c r="G208" s="1421"/>
      <c r="H208" s="1410" t="s">
        <v>106</v>
      </c>
      <c r="I208" s="1411"/>
      <c r="J208" s="1412"/>
      <c r="K208" s="1413"/>
      <c r="L208" s="1127"/>
      <c r="M208" s="1128"/>
      <c r="N208" s="1423"/>
      <c r="O208" s="1424"/>
      <c r="P208" s="1418"/>
      <c r="Q208" s="1377"/>
      <c r="R208" s="1377"/>
      <c r="S208" s="1409"/>
      <c r="T208" s="1377"/>
      <c r="U208" s="1377"/>
      <c r="V208" s="1377"/>
      <c r="W208" s="1377"/>
      <c r="X208" s="1377"/>
      <c r="Y208" s="1377"/>
      <c r="Z208" s="664"/>
      <c r="AA208" s="665"/>
      <c r="AB208" s="108" t="s">
        <v>952</v>
      </c>
      <c r="AC208" s="669"/>
      <c r="AD208" s="669"/>
      <c r="AE208" s="671"/>
      <c r="AF208" s="1408"/>
      <c r="AG208" s="1403"/>
      <c r="AH208" s="1403"/>
      <c r="AI208" s="1408"/>
      <c r="AJ208" s="1403"/>
      <c r="AK208" s="1403"/>
      <c r="AL208" s="703"/>
      <c r="AM208" s="35"/>
      <c r="AN208" s="35"/>
      <c r="AO208" s="35"/>
      <c r="AP208" s="35"/>
      <c r="AQ208" s="35"/>
      <c r="AR208" s="35"/>
      <c r="AS208" s="35"/>
      <c r="AT208" s="35"/>
      <c r="AU208" s="35"/>
      <c r="AV208" s="35"/>
      <c r="AW208" s="35"/>
      <c r="AX208" s="35"/>
      <c r="AY208" s="35"/>
      <c r="AZ208" s="35"/>
      <c r="BA208" s="35"/>
      <c r="BB208" s="35"/>
      <c r="BC208" s="35"/>
      <c r="BD208" s="35"/>
      <c r="BE208" s="35"/>
      <c r="BF208" s="35"/>
    </row>
    <row r="209" spans="1:58" ht="11.25" customHeight="1">
      <c r="A209" s="301" t="s">
        <v>916</v>
      </c>
      <c r="E209" s="11"/>
      <c r="F209" s="1406"/>
      <c r="G209" s="1421"/>
      <c r="H209" s="1410" t="s">
        <v>106</v>
      </c>
      <c r="I209" s="1411"/>
      <c r="J209" s="1412"/>
      <c r="K209" s="1413"/>
      <c r="L209" s="1127"/>
      <c r="M209" s="1128"/>
      <c r="N209" s="664"/>
      <c r="O209" s="665"/>
      <c r="P209" s="108" t="s">
        <v>953</v>
      </c>
      <c r="Q209" s="665"/>
      <c r="R209" s="665"/>
      <c r="S209" s="665"/>
      <c r="T209" s="665"/>
      <c r="U209" s="665"/>
      <c r="V209" s="665"/>
      <c r="W209" s="665"/>
      <c r="X209" s="665"/>
      <c r="Y209" s="665"/>
      <c r="Z209" s="665"/>
      <c r="AA209" s="665"/>
      <c r="AB209" s="665"/>
      <c r="AC209" s="665"/>
      <c r="AD209" s="665"/>
      <c r="AE209" s="672"/>
      <c r="AF209" s="1408"/>
      <c r="AG209" s="1403"/>
      <c r="AH209" s="1403"/>
      <c r="AI209" s="1408"/>
      <c r="AJ209" s="1403"/>
      <c r="AK209" s="1403"/>
      <c r="AL209" s="703"/>
      <c r="AM209" s="35"/>
      <c r="AN209" s="35"/>
      <c r="AO209" s="35"/>
      <c r="AP209" s="35"/>
      <c r="AQ209" s="35"/>
      <c r="AR209" s="35"/>
      <c r="AS209" s="35"/>
      <c r="AT209" s="35"/>
      <c r="AU209" s="35"/>
      <c r="AV209" s="35"/>
      <c r="AW209" s="35"/>
      <c r="AX209" s="35"/>
      <c r="AY209" s="35"/>
      <c r="AZ209" s="35"/>
      <c r="BA209" s="35"/>
      <c r="BB209" s="35"/>
      <c r="BC209" s="35"/>
      <c r="BD209" s="35"/>
      <c r="BE209" s="35"/>
      <c r="BF209" s="35"/>
    </row>
    <row r="210" spans="1:58" ht="11.25" customHeight="1">
      <c r="A210" s="301" t="s">
        <v>916</v>
      </c>
      <c r="E210" s="11"/>
      <c r="F210" s="1406"/>
      <c r="G210" s="1395" t="s">
        <v>117</v>
      </c>
      <c r="H210" s="1410" t="s">
        <v>87</v>
      </c>
      <c r="I210" s="1411"/>
      <c r="J210" s="1412"/>
      <c r="K210" s="1413" t="s">
        <v>959</v>
      </c>
      <c r="L210" s="1127" t="s">
        <v>52</v>
      </c>
      <c r="M210" s="1128"/>
      <c r="N210" s="1046"/>
      <c r="O210" s="666" t="s">
        <v>375</v>
      </c>
      <c r="P210" s="667"/>
      <c r="Q210" s="667"/>
      <c r="R210" s="667"/>
      <c r="S210" s="667"/>
      <c r="T210" s="667"/>
      <c r="U210" s="667"/>
      <c r="V210" s="667"/>
      <c r="W210" s="667"/>
      <c r="X210" s="667"/>
      <c r="Y210" s="667"/>
      <c r="Z210" s="667"/>
      <c r="AA210" s="667"/>
      <c r="AB210" s="667"/>
      <c r="AC210" s="667"/>
      <c r="AD210" s="667"/>
      <c r="AE210" s="667"/>
      <c r="AF210" s="1408">
        <v>2026</v>
      </c>
      <c r="AG210" s="1403" t="s">
        <v>949</v>
      </c>
      <c r="AH210" s="1403" t="s">
        <v>986</v>
      </c>
      <c r="AI210" s="1408">
        <v>2026</v>
      </c>
      <c r="AJ210" s="1403" t="s">
        <v>949</v>
      </c>
      <c r="AK210" s="1403" t="s">
        <v>986</v>
      </c>
      <c r="AL210" s="703"/>
      <c r="AM210" s="35"/>
      <c r="AN210" s="35"/>
      <c r="AO210" s="35"/>
      <c r="AP210" s="35"/>
      <c r="AQ210" s="35"/>
      <c r="AR210" s="35"/>
      <c r="AS210" s="35"/>
      <c r="AT210" s="35"/>
      <c r="AU210" s="35"/>
      <c r="AV210" s="35"/>
      <c r="AW210" s="35"/>
      <c r="AX210" s="35"/>
      <c r="AY210" s="35"/>
      <c r="AZ210" s="35"/>
      <c r="BA210" s="35"/>
      <c r="BB210" s="35"/>
      <c r="BC210" s="35"/>
      <c r="BD210" s="35"/>
      <c r="BE210" s="35"/>
      <c r="BF210" s="35"/>
    </row>
    <row r="211" spans="1:58" ht="11.25" customHeight="1">
      <c r="A211" s="301" t="s">
        <v>916</v>
      </c>
      <c r="E211" s="11"/>
      <c r="F211" s="1406"/>
      <c r="G211" s="1421"/>
      <c r="H211" s="1410" t="s">
        <v>86</v>
      </c>
      <c r="I211" s="1411"/>
      <c r="J211" s="1412"/>
      <c r="K211" s="1413"/>
      <c r="L211" s="1127"/>
      <c r="M211" s="1128"/>
      <c r="N211" s="1423"/>
      <c r="O211" s="1424">
        <v>1</v>
      </c>
      <c r="P211" s="1416" t="s">
        <v>52</v>
      </c>
      <c r="Q211" s="1377" t="s">
        <v>18</v>
      </c>
      <c r="R211" s="1377" t="s">
        <v>18</v>
      </c>
      <c r="S211" s="1377" t="s">
        <v>18</v>
      </c>
      <c r="T211" s="1377" t="s">
        <v>18</v>
      </c>
      <c r="U211" s="1377" t="s">
        <v>18</v>
      </c>
      <c r="V211" s="1377" t="s">
        <v>18</v>
      </c>
      <c r="W211" s="1377" t="s">
        <v>18</v>
      </c>
      <c r="X211" s="1377" t="s">
        <v>18</v>
      </c>
      <c r="Y211" s="1377"/>
      <c r="Z211" s="664"/>
      <c r="AA211" s="665"/>
      <c r="AB211" s="665"/>
      <c r="AC211" s="669"/>
      <c r="AD211" s="669"/>
      <c r="AE211" s="670"/>
      <c r="AF211" s="1408"/>
      <c r="AG211" s="1403"/>
      <c r="AH211" s="1403"/>
      <c r="AI211" s="1408"/>
      <c r="AJ211" s="1403"/>
      <c r="AK211" s="1403"/>
      <c r="AL211" s="703"/>
      <c r="AM211" s="35"/>
      <c r="AN211" s="35"/>
      <c r="AO211" s="35"/>
      <c r="AP211" s="35"/>
      <c r="AQ211" s="35"/>
      <c r="AR211" s="35"/>
      <c r="AS211" s="35"/>
      <c r="AT211" s="35"/>
      <c r="AU211" s="35"/>
      <c r="AV211" s="35"/>
      <c r="AW211" s="35"/>
      <c r="AX211" s="35"/>
      <c r="AY211" s="35"/>
      <c r="AZ211" s="35"/>
      <c r="BA211" s="35"/>
      <c r="BB211" s="35"/>
      <c r="BC211" s="35"/>
      <c r="BD211" s="35"/>
      <c r="BE211" s="35"/>
      <c r="BF211" s="35"/>
    </row>
    <row r="212" spans="1:58" ht="11.25" customHeight="1">
      <c r="A212" s="301" t="s">
        <v>916</v>
      </c>
      <c r="E212" s="11"/>
      <c r="F212" s="1406"/>
      <c r="G212" s="1421"/>
      <c r="H212" s="1410" t="s">
        <v>86</v>
      </c>
      <c r="I212" s="1411"/>
      <c r="J212" s="1412"/>
      <c r="K212" s="1413"/>
      <c r="L212" s="1127"/>
      <c r="M212" s="1128"/>
      <c r="N212" s="1423"/>
      <c r="O212" s="1424"/>
      <c r="P212" s="1417"/>
      <c r="Q212" s="1377"/>
      <c r="R212" s="1377"/>
      <c r="S212" s="1409"/>
      <c r="T212" s="1377"/>
      <c r="U212" s="1377"/>
      <c r="V212" s="1377"/>
      <c r="W212" s="1377"/>
      <c r="X212" s="1377"/>
      <c r="Y212" s="1377"/>
      <c r="Z212" s="978"/>
      <c r="AA212" s="969">
        <v>1</v>
      </c>
      <c r="AB212" s="668" t="s">
        <v>951</v>
      </c>
      <c r="AC212" s="371">
        <v>996.89</v>
      </c>
      <c r="AD212" s="668" t="str">
        <f>AB212</f>
        <v xml:space="preserve">      Прочие амортизационные отчисления</v>
      </c>
      <c r="AE212" s="371">
        <v>0</v>
      </c>
      <c r="AF212" s="1408"/>
      <c r="AG212" s="1403"/>
      <c r="AH212" s="1403"/>
      <c r="AI212" s="1408"/>
      <c r="AJ212" s="1403"/>
      <c r="AK212" s="1403"/>
      <c r="AL212" s="703"/>
      <c r="AM212" s="35"/>
      <c r="AN212" s="35"/>
      <c r="AO212" s="35"/>
      <c r="AP212" s="35"/>
      <c r="AQ212" s="35"/>
      <c r="AR212" s="35"/>
      <c r="AS212" s="35"/>
      <c r="AT212" s="35"/>
      <c r="AU212" s="35"/>
      <c r="AV212" s="35"/>
      <c r="AW212" s="35"/>
      <c r="AX212" s="35"/>
      <c r="AY212" s="35"/>
      <c r="AZ212" s="35"/>
      <c r="BA212" s="35"/>
      <c r="BB212" s="35"/>
      <c r="BC212" s="35"/>
      <c r="BD212" s="35"/>
      <c r="BE212" s="35"/>
      <c r="BF212" s="35"/>
    </row>
    <row r="213" spans="1:58" ht="11.25" customHeight="1">
      <c r="A213" s="301" t="s">
        <v>916</v>
      </c>
      <c r="E213" s="11"/>
      <c r="F213" s="1406"/>
      <c r="G213" s="1421"/>
      <c r="H213" s="1410" t="s">
        <v>86</v>
      </c>
      <c r="I213" s="1411"/>
      <c r="J213" s="1412"/>
      <c r="K213" s="1413"/>
      <c r="L213" s="1127"/>
      <c r="M213" s="1128"/>
      <c r="N213" s="1423"/>
      <c r="O213" s="1424"/>
      <c r="P213" s="1418"/>
      <c r="Q213" s="1377"/>
      <c r="R213" s="1377"/>
      <c r="S213" s="1409"/>
      <c r="T213" s="1377"/>
      <c r="U213" s="1377"/>
      <c r="V213" s="1377"/>
      <c r="W213" s="1377"/>
      <c r="X213" s="1377"/>
      <c r="Y213" s="1377"/>
      <c r="Z213" s="664"/>
      <c r="AA213" s="665"/>
      <c r="AB213" s="108" t="s">
        <v>952</v>
      </c>
      <c r="AC213" s="669"/>
      <c r="AD213" s="669"/>
      <c r="AE213" s="671"/>
      <c r="AF213" s="1408"/>
      <c r="AG213" s="1403"/>
      <c r="AH213" s="1403"/>
      <c r="AI213" s="1408"/>
      <c r="AJ213" s="1403"/>
      <c r="AK213" s="1403"/>
      <c r="AL213" s="703"/>
      <c r="AM213" s="35"/>
      <c r="AN213" s="35"/>
      <c r="AO213" s="35"/>
      <c r="AP213" s="35"/>
      <c r="AQ213" s="35"/>
      <c r="AR213" s="35"/>
      <c r="AS213" s="35"/>
      <c r="AT213" s="35"/>
      <c r="AU213" s="35"/>
      <c r="AV213" s="35"/>
      <c r="AW213" s="35"/>
      <c r="AX213" s="35"/>
      <c r="AY213" s="35"/>
      <c r="AZ213" s="35"/>
      <c r="BA213" s="35"/>
      <c r="BB213" s="35"/>
      <c r="BC213" s="35"/>
      <c r="BD213" s="35"/>
      <c r="BE213" s="35"/>
      <c r="BF213" s="35"/>
    </row>
    <row r="214" spans="1:58" ht="11.25" customHeight="1">
      <c r="A214" s="301" t="s">
        <v>916</v>
      </c>
      <c r="E214" s="11"/>
      <c r="F214" s="1406"/>
      <c r="G214" s="1421"/>
      <c r="H214" s="1410" t="s">
        <v>86</v>
      </c>
      <c r="I214" s="1411"/>
      <c r="J214" s="1412"/>
      <c r="K214" s="1413"/>
      <c r="L214" s="1127"/>
      <c r="M214" s="1128"/>
      <c r="N214" s="664"/>
      <c r="O214" s="665"/>
      <c r="P214" s="108" t="s">
        <v>953</v>
      </c>
      <c r="Q214" s="665"/>
      <c r="R214" s="665"/>
      <c r="S214" s="665"/>
      <c r="T214" s="665"/>
      <c r="U214" s="665"/>
      <c r="V214" s="665"/>
      <c r="W214" s="665"/>
      <c r="X214" s="665"/>
      <c r="Y214" s="665"/>
      <c r="Z214" s="665"/>
      <c r="AA214" s="665"/>
      <c r="AB214" s="665"/>
      <c r="AC214" s="665"/>
      <c r="AD214" s="665"/>
      <c r="AE214" s="672"/>
      <c r="AF214" s="1408"/>
      <c r="AG214" s="1403"/>
      <c r="AH214" s="1403"/>
      <c r="AI214" s="1408"/>
      <c r="AJ214" s="1403"/>
      <c r="AK214" s="1403"/>
      <c r="AL214" s="703"/>
      <c r="AM214" s="35"/>
      <c r="AN214" s="35"/>
      <c r="AO214" s="35"/>
      <c r="AP214" s="35"/>
      <c r="AQ214" s="35"/>
      <c r="AR214" s="35"/>
      <c r="AS214" s="35"/>
      <c r="AT214" s="35"/>
      <c r="AU214" s="35"/>
      <c r="AV214" s="35"/>
      <c r="AW214" s="35"/>
      <c r="AX214" s="35"/>
      <c r="AY214" s="35"/>
      <c r="AZ214" s="35"/>
      <c r="BA214" s="35"/>
      <c r="BB214" s="35"/>
      <c r="BC214" s="35"/>
      <c r="BD214" s="35"/>
      <c r="BE214" s="35"/>
      <c r="BF214" s="35"/>
    </row>
    <row r="215" spans="1:58" ht="11.25" customHeight="1">
      <c r="A215" s="301" t="s">
        <v>916</v>
      </c>
      <c r="E215" s="11"/>
      <c r="F215" s="1406"/>
      <c r="G215" s="1395" t="s">
        <v>117</v>
      </c>
      <c r="H215" s="1410" t="s">
        <v>107</v>
      </c>
      <c r="I215" s="1411"/>
      <c r="J215" s="1412"/>
      <c r="K215" s="1413" t="s">
        <v>963</v>
      </c>
      <c r="L215" s="1127" t="s">
        <v>52</v>
      </c>
      <c r="M215" s="1128"/>
      <c r="N215" s="1046"/>
      <c r="O215" s="666" t="s">
        <v>375</v>
      </c>
      <c r="P215" s="667"/>
      <c r="Q215" s="667"/>
      <c r="R215" s="667"/>
      <c r="S215" s="667"/>
      <c r="T215" s="667"/>
      <c r="U215" s="667"/>
      <c r="V215" s="667"/>
      <c r="W215" s="667"/>
      <c r="X215" s="667"/>
      <c r="Y215" s="667"/>
      <c r="Z215" s="667"/>
      <c r="AA215" s="667"/>
      <c r="AB215" s="667"/>
      <c r="AC215" s="667"/>
      <c r="AD215" s="667"/>
      <c r="AE215" s="667"/>
      <c r="AF215" s="1408">
        <v>2026</v>
      </c>
      <c r="AG215" s="1403" t="s">
        <v>949</v>
      </c>
      <c r="AH215" s="1403" t="s">
        <v>986</v>
      </c>
      <c r="AI215" s="1408">
        <v>2026</v>
      </c>
      <c r="AJ215" s="1403" t="s">
        <v>949</v>
      </c>
      <c r="AK215" s="1403" t="s">
        <v>986</v>
      </c>
      <c r="AL215" s="703"/>
      <c r="AM215" s="35"/>
      <c r="AN215" s="35"/>
      <c r="AO215" s="35"/>
      <c r="AP215" s="35"/>
      <c r="AQ215" s="35"/>
      <c r="AR215" s="35"/>
      <c r="AS215" s="35"/>
      <c r="AT215" s="35"/>
      <c r="AU215" s="35"/>
      <c r="AV215" s="35"/>
      <c r="AW215" s="35"/>
      <c r="AX215" s="35"/>
      <c r="AY215" s="35"/>
      <c r="AZ215" s="35"/>
      <c r="BA215" s="35"/>
      <c r="BB215" s="35"/>
      <c r="BC215" s="35"/>
      <c r="BD215" s="35"/>
      <c r="BE215" s="35"/>
      <c r="BF215" s="35"/>
    </row>
    <row r="216" spans="1:58" ht="11.25" customHeight="1">
      <c r="A216" s="301" t="s">
        <v>916</v>
      </c>
      <c r="E216" s="11"/>
      <c r="F216" s="1406"/>
      <c r="G216" s="1421"/>
      <c r="H216" s="1410" t="s">
        <v>87</v>
      </c>
      <c r="I216" s="1411"/>
      <c r="J216" s="1412"/>
      <c r="K216" s="1413"/>
      <c r="L216" s="1127"/>
      <c r="M216" s="1128"/>
      <c r="N216" s="1423"/>
      <c r="O216" s="1424">
        <v>1</v>
      </c>
      <c r="P216" s="1416" t="s">
        <v>52</v>
      </c>
      <c r="Q216" s="1377" t="s">
        <v>18</v>
      </c>
      <c r="R216" s="1377" t="s">
        <v>18</v>
      </c>
      <c r="S216" s="1377" t="s">
        <v>18</v>
      </c>
      <c r="T216" s="1377" t="s">
        <v>18</v>
      </c>
      <c r="U216" s="1377" t="s">
        <v>18</v>
      </c>
      <c r="V216" s="1377" t="s">
        <v>18</v>
      </c>
      <c r="W216" s="1377" t="s">
        <v>18</v>
      </c>
      <c r="X216" s="1377" t="s">
        <v>18</v>
      </c>
      <c r="Y216" s="1377"/>
      <c r="Z216" s="664"/>
      <c r="AA216" s="665"/>
      <c r="AB216" s="665"/>
      <c r="AC216" s="669"/>
      <c r="AD216" s="669"/>
      <c r="AE216" s="670"/>
      <c r="AF216" s="1408"/>
      <c r="AG216" s="1403"/>
      <c r="AH216" s="1403"/>
      <c r="AI216" s="1408"/>
      <c r="AJ216" s="1403"/>
      <c r="AK216" s="1403"/>
      <c r="AL216" s="703"/>
      <c r="AM216" s="35"/>
      <c r="AN216" s="35"/>
      <c r="AO216" s="35"/>
      <c r="AP216" s="35"/>
      <c r="AQ216" s="35"/>
      <c r="AR216" s="35"/>
      <c r="AS216" s="35"/>
      <c r="AT216" s="35"/>
      <c r="AU216" s="35"/>
      <c r="AV216" s="35"/>
      <c r="AW216" s="35"/>
      <c r="AX216" s="35"/>
      <c r="AY216" s="35"/>
      <c r="AZ216" s="35"/>
      <c r="BA216" s="35"/>
      <c r="BB216" s="35"/>
      <c r="BC216" s="35"/>
      <c r="BD216" s="35"/>
      <c r="BE216" s="35"/>
      <c r="BF216" s="35"/>
    </row>
    <row r="217" spans="1:58" ht="11.25" customHeight="1">
      <c r="A217" s="301" t="s">
        <v>916</v>
      </c>
      <c r="E217" s="11"/>
      <c r="F217" s="1406"/>
      <c r="G217" s="1421"/>
      <c r="H217" s="1410" t="s">
        <v>87</v>
      </c>
      <c r="I217" s="1411"/>
      <c r="J217" s="1412"/>
      <c r="K217" s="1413"/>
      <c r="L217" s="1127"/>
      <c r="M217" s="1128"/>
      <c r="N217" s="1423"/>
      <c r="O217" s="1424"/>
      <c r="P217" s="1417"/>
      <c r="Q217" s="1377"/>
      <c r="R217" s="1377"/>
      <c r="S217" s="1409"/>
      <c r="T217" s="1377"/>
      <c r="U217" s="1377"/>
      <c r="V217" s="1377"/>
      <c r="W217" s="1377"/>
      <c r="X217" s="1377"/>
      <c r="Y217" s="1377"/>
      <c r="Z217" s="978"/>
      <c r="AA217" s="969">
        <v>1</v>
      </c>
      <c r="AB217" s="668" t="s">
        <v>951</v>
      </c>
      <c r="AC217" s="371">
        <v>13801.79</v>
      </c>
      <c r="AD217" s="668" t="str">
        <f>AB217</f>
        <v xml:space="preserve">      Прочие амортизационные отчисления</v>
      </c>
      <c r="AE217" s="371">
        <v>0</v>
      </c>
      <c r="AF217" s="1408"/>
      <c r="AG217" s="1403"/>
      <c r="AH217" s="1403"/>
      <c r="AI217" s="1408"/>
      <c r="AJ217" s="1403"/>
      <c r="AK217" s="1403"/>
      <c r="AL217" s="703"/>
      <c r="AM217" s="35"/>
      <c r="AN217" s="35"/>
      <c r="AO217" s="35"/>
      <c r="AP217" s="35"/>
      <c r="AQ217" s="35"/>
      <c r="AR217" s="35"/>
      <c r="AS217" s="35"/>
      <c r="AT217" s="35"/>
      <c r="AU217" s="35"/>
      <c r="AV217" s="35"/>
      <c r="AW217" s="35"/>
      <c r="AX217" s="35"/>
      <c r="AY217" s="35"/>
      <c r="AZ217" s="35"/>
      <c r="BA217" s="35"/>
      <c r="BB217" s="35"/>
      <c r="BC217" s="35"/>
      <c r="BD217" s="35"/>
      <c r="BE217" s="35"/>
      <c r="BF217" s="35"/>
    </row>
    <row r="218" spans="1:58" ht="11.25" customHeight="1">
      <c r="A218" s="301" t="s">
        <v>916</v>
      </c>
      <c r="E218" s="11"/>
      <c r="F218" s="1406"/>
      <c r="G218" s="1421"/>
      <c r="H218" s="1410" t="s">
        <v>87</v>
      </c>
      <c r="I218" s="1411"/>
      <c r="J218" s="1412"/>
      <c r="K218" s="1413"/>
      <c r="L218" s="1127"/>
      <c r="M218" s="1128"/>
      <c r="N218" s="1423"/>
      <c r="O218" s="1424"/>
      <c r="P218" s="1418"/>
      <c r="Q218" s="1377"/>
      <c r="R218" s="1377"/>
      <c r="S218" s="1409"/>
      <c r="T218" s="1377"/>
      <c r="U218" s="1377"/>
      <c r="V218" s="1377"/>
      <c r="W218" s="1377"/>
      <c r="X218" s="1377"/>
      <c r="Y218" s="1377"/>
      <c r="Z218" s="664"/>
      <c r="AA218" s="665"/>
      <c r="AB218" s="108" t="s">
        <v>952</v>
      </c>
      <c r="AC218" s="669"/>
      <c r="AD218" s="669"/>
      <c r="AE218" s="671"/>
      <c r="AF218" s="1408"/>
      <c r="AG218" s="1403"/>
      <c r="AH218" s="1403"/>
      <c r="AI218" s="1408"/>
      <c r="AJ218" s="1403"/>
      <c r="AK218" s="1403"/>
      <c r="AL218" s="703"/>
      <c r="AM218" s="35"/>
      <c r="AN218" s="35"/>
      <c r="AO218" s="35"/>
      <c r="AP218" s="35"/>
      <c r="AQ218" s="35"/>
      <c r="AR218" s="35"/>
      <c r="AS218" s="35"/>
      <c r="AT218" s="35"/>
      <c r="AU218" s="35"/>
      <c r="AV218" s="35"/>
      <c r="AW218" s="35"/>
      <c r="AX218" s="35"/>
      <c r="AY218" s="35"/>
      <c r="AZ218" s="35"/>
      <c r="BA218" s="35"/>
      <c r="BB218" s="35"/>
      <c r="BC218" s="35"/>
      <c r="BD218" s="35"/>
      <c r="BE218" s="35"/>
      <c r="BF218" s="35"/>
    </row>
    <row r="219" spans="1:58" ht="11.25" customHeight="1">
      <c r="A219" s="301" t="s">
        <v>916</v>
      </c>
      <c r="E219" s="11"/>
      <c r="F219" s="1406"/>
      <c r="G219" s="1421"/>
      <c r="H219" s="1410" t="s">
        <v>87</v>
      </c>
      <c r="I219" s="1411"/>
      <c r="J219" s="1412"/>
      <c r="K219" s="1413"/>
      <c r="L219" s="1127"/>
      <c r="M219" s="1128"/>
      <c r="N219" s="664"/>
      <c r="O219" s="665"/>
      <c r="P219" s="108" t="s">
        <v>953</v>
      </c>
      <c r="Q219" s="665"/>
      <c r="R219" s="665"/>
      <c r="S219" s="665"/>
      <c r="T219" s="665"/>
      <c r="U219" s="665"/>
      <c r="V219" s="665"/>
      <c r="W219" s="665"/>
      <c r="X219" s="665"/>
      <c r="Y219" s="665"/>
      <c r="Z219" s="665"/>
      <c r="AA219" s="665"/>
      <c r="AB219" s="665"/>
      <c r="AC219" s="665"/>
      <c r="AD219" s="665"/>
      <c r="AE219" s="672"/>
      <c r="AF219" s="1408"/>
      <c r="AG219" s="1403"/>
      <c r="AH219" s="1403"/>
      <c r="AI219" s="1408"/>
      <c r="AJ219" s="1403"/>
      <c r="AK219" s="1403"/>
      <c r="AL219" s="703"/>
      <c r="AM219" s="35"/>
      <c r="AN219" s="35"/>
      <c r="AO219" s="35"/>
      <c r="AP219" s="35"/>
      <c r="AQ219" s="35"/>
      <c r="AR219" s="35"/>
      <c r="AS219" s="35"/>
      <c r="AT219" s="35"/>
      <c r="AU219" s="35"/>
      <c r="AV219" s="35"/>
      <c r="AW219" s="35"/>
      <c r="AX219" s="35"/>
      <c r="AY219" s="35"/>
      <c r="AZ219" s="35"/>
      <c r="BA219" s="35"/>
      <c r="BB219" s="35"/>
      <c r="BC219" s="35"/>
      <c r="BD219" s="35"/>
      <c r="BE219" s="35"/>
      <c r="BF219" s="35"/>
    </row>
    <row r="220" spans="1:58" ht="11.25" customHeight="1">
      <c r="A220" s="301" t="s">
        <v>916</v>
      </c>
      <c r="E220" s="11"/>
      <c r="F220" s="1406"/>
      <c r="G220" s="1395" t="s">
        <v>117</v>
      </c>
      <c r="H220" s="1410" t="s">
        <v>88</v>
      </c>
      <c r="I220" s="1411"/>
      <c r="J220" s="1412"/>
      <c r="K220" s="1413" t="s">
        <v>979</v>
      </c>
      <c r="L220" s="1127" t="s">
        <v>52</v>
      </c>
      <c r="M220" s="1128"/>
      <c r="N220" s="1046"/>
      <c r="O220" s="666" t="s">
        <v>375</v>
      </c>
      <c r="P220" s="667"/>
      <c r="Q220" s="667"/>
      <c r="R220" s="667"/>
      <c r="S220" s="667"/>
      <c r="T220" s="667"/>
      <c r="U220" s="667"/>
      <c r="V220" s="667"/>
      <c r="W220" s="667"/>
      <c r="X220" s="667"/>
      <c r="Y220" s="667"/>
      <c r="Z220" s="667"/>
      <c r="AA220" s="667"/>
      <c r="AB220" s="667"/>
      <c r="AC220" s="667"/>
      <c r="AD220" s="667"/>
      <c r="AE220" s="667"/>
      <c r="AF220" s="1408">
        <v>2026</v>
      </c>
      <c r="AG220" s="1403" t="s">
        <v>949</v>
      </c>
      <c r="AH220" s="1403" t="s">
        <v>986</v>
      </c>
      <c r="AI220" s="1408">
        <v>2026</v>
      </c>
      <c r="AJ220" s="1403" t="s">
        <v>949</v>
      </c>
      <c r="AK220" s="1403" t="s">
        <v>986</v>
      </c>
      <c r="AL220" s="703"/>
      <c r="AM220" s="35"/>
      <c r="AN220" s="35"/>
      <c r="AO220" s="35"/>
      <c r="AP220" s="35"/>
      <c r="AQ220" s="35"/>
      <c r="AR220" s="35"/>
      <c r="AS220" s="35"/>
      <c r="AT220" s="35"/>
      <c r="AU220" s="35"/>
      <c r="AV220" s="35"/>
      <c r="AW220" s="35"/>
      <c r="AX220" s="35"/>
      <c r="AY220" s="35"/>
      <c r="AZ220" s="35"/>
      <c r="BA220" s="35"/>
      <c r="BB220" s="35"/>
      <c r="BC220" s="35"/>
      <c r="BD220" s="35"/>
      <c r="BE220" s="35"/>
      <c r="BF220" s="35"/>
    </row>
    <row r="221" spans="1:58" ht="11.25" customHeight="1">
      <c r="A221" s="301" t="s">
        <v>916</v>
      </c>
      <c r="E221" s="11"/>
      <c r="F221" s="1406"/>
      <c r="G221" s="1421"/>
      <c r="H221" s="1410" t="s">
        <v>107</v>
      </c>
      <c r="I221" s="1411"/>
      <c r="J221" s="1412"/>
      <c r="K221" s="1413"/>
      <c r="L221" s="1127"/>
      <c r="M221" s="1128"/>
      <c r="N221" s="1423"/>
      <c r="O221" s="1424">
        <v>1</v>
      </c>
      <c r="P221" s="1416" t="s">
        <v>52</v>
      </c>
      <c r="Q221" s="1377" t="s">
        <v>18</v>
      </c>
      <c r="R221" s="1377" t="s">
        <v>18</v>
      </c>
      <c r="S221" s="1377" t="s">
        <v>18</v>
      </c>
      <c r="T221" s="1377" t="s">
        <v>18</v>
      </c>
      <c r="U221" s="1377" t="s">
        <v>18</v>
      </c>
      <c r="V221" s="1377" t="s">
        <v>18</v>
      </c>
      <c r="W221" s="1377" t="s">
        <v>18</v>
      </c>
      <c r="X221" s="1377" t="s">
        <v>18</v>
      </c>
      <c r="Y221" s="1377"/>
      <c r="Z221" s="664"/>
      <c r="AA221" s="665"/>
      <c r="AB221" s="665"/>
      <c r="AC221" s="669"/>
      <c r="AD221" s="669"/>
      <c r="AE221" s="670"/>
      <c r="AF221" s="1408"/>
      <c r="AG221" s="1403"/>
      <c r="AH221" s="1403"/>
      <c r="AI221" s="1408"/>
      <c r="AJ221" s="1403"/>
      <c r="AK221" s="1403"/>
      <c r="AL221" s="703"/>
      <c r="AM221" s="35"/>
      <c r="AN221" s="35"/>
      <c r="AO221" s="35"/>
      <c r="AP221" s="35"/>
      <c r="AQ221" s="35"/>
      <c r="AR221" s="35"/>
      <c r="AS221" s="35"/>
      <c r="AT221" s="35"/>
      <c r="AU221" s="35"/>
      <c r="AV221" s="35"/>
      <c r="AW221" s="35"/>
      <c r="AX221" s="35"/>
      <c r="AY221" s="35"/>
      <c r="AZ221" s="35"/>
      <c r="BA221" s="35"/>
      <c r="BB221" s="35"/>
      <c r="BC221" s="35"/>
      <c r="BD221" s="35"/>
      <c r="BE221" s="35"/>
      <c r="BF221" s="35"/>
    </row>
    <row r="222" spans="1:58" ht="11.25" customHeight="1">
      <c r="A222" s="301" t="s">
        <v>916</v>
      </c>
      <c r="E222" s="11"/>
      <c r="F222" s="1406"/>
      <c r="G222" s="1421"/>
      <c r="H222" s="1410" t="s">
        <v>107</v>
      </c>
      <c r="I222" s="1411"/>
      <c r="J222" s="1412"/>
      <c r="K222" s="1413"/>
      <c r="L222" s="1127"/>
      <c r="M222" s="1128"/>
      <c r="N222" s="1423"/>
      <c r="O222" s="1424"/>
      <c r="P222" s="1417"/>
      <c r="Q222" s="1377"/>
      <c r="R222" s="1377"/>
      <c r="S222" s="1409"/>
      <c r="T222" s="1377"/>
      <c r="U222" s="1377"/>
      <c r="V222" s="1377"/>
      <c r="W222" s="1377"/>
      <c r="X222" s="1377"/>
      <c r="Y222" s="1377"/>
      <c r="Z222" s="978"/>
      <c r="AA222" s="969">
        <v>1</v>
      </c>
      <c r="AB222" s="668" t="s">
        <v>966</v>
      </c>
      <c r="AC222" s="371">
        <v>3300</v>
      </c>
      <c r="AD222" s="668" t="str">
        <f>AB222</f>
        <v xml:space="preserve">  Прибыль направляемая на инвестиции</v>
      </c>
      <c r="AE222" s="371">
        <v>0</v>
      </c>
      <c r="AF222" s="1408"/>
      <c r="AG222" s="1403"/>
      <c r="AH222" s="1403"/>
      <c r="AI222" s="1408"/>
      <c r="AJ222" s="1403"/>
      <c r="AK222" s="1403"/>
      <c r="AL222" s="703"/>
      <c r="AM222" s="35"/>
      <c r="AN222" s="35"/>
      <c r="AO222" s="35"/>
      <c r="AP222" s="35"/>
      <c r="AQ222" s="35"/>
      <c r="AR222" s="35"/>
      <c r="AS222" s="35"/>
      <c r="AT222" s="35"/>
      <c r="AU222" s="35"/>
      <c r="AV222" s="35"/>
      <c r="AW222" s="35"/>
      <c r="AX222" s="35"/>
      <c r="AY222" s="35"/>
      <c r="AZ222" s="35"/>
      <c r="BA222" s="35"/>
      <c r="BB222" s="35"/>
      <c r="BC222" s="35"/>
      <c r="BD222" s="35"/>
      <c r="BE222" s="35"/>
      <c r="BF222" s="35"/>
    </row>
    <row r="223" spans="1:58" ht="11.25" customHeight="1">
      <c r="A223" s="301" t="s">
        <v>916</v>
      </c>
      <c r="E223" s="11"/>
      <c r="F223" s="1406"/>
      <c r="G223" s="1421"/>
      <c r="H223" s="1410" t="s">
        <v>107</v>
      </c>
      <c r="I223" s="1411"/>
      <c r="J223" s="1412"/>
      <c r="K223" s="1413"/>
      <c r="L223" s="1127"/>
      <c r="M223" s="1128"/>
      <c r="N223" s="1423"/>
      <c r="O223" s="1424"/>
      <c r="P223" s="1418"/>
      <c r="Q223" s="1377"/>
      <c r="R223" s="1377"/>
      <c r="S223" s="1409"/>
      <c r="T223" s="1377"/>
      <c r="U223" s="1377"/>
      <c r="V223" s="1377"/>
      <c r="W223" s="1377"/>
      <c r="X223" s="1377"/>
      <c r="Y223" s="1377"/>
      <c r="Z223" s="664"/>
      <c r="AA223" s="665"/>
      <c r="AB223" s="108" t="s">
        <v>952</v>
      </c>
      <c r="AC223" s="669"/>
      <c r="AD223" s="669"/>
      <c r="AE223" s="671"/>
      <c r="AF223" s="1408"/>
      <c r="AG223" s="1403"/>
      <c r="AH223" s="1403"/>
      <c r="AI223" s="1408"/>
      <c r="AJ223" s="1403"/>
      <c r="AK223" s="1403"/>
      <c r="AL223" s="703"/>
      <c r="AM223" s="35"/>
      <c r="AN223" s="35"/>
      <c r="AO223" s="35"/>
      <c r="AP223" s="35"/>
      <c r="AQ223" s="35"/>
      <c r="AR223" s="35"/>
      <c r="AS223" s="35"/>
      <c r="AT223" s="35"/>
      <c r="AU223" s="35"/>
      <c r="AV223" s="35"/>
      <c r="AW223" s="35"/>
      <c r="AX223" s="35"/>
      <c r="AY223" s="35"/>
      <c r="AZ223" s="35"/>
      <c r="BA223" s="35"/>
      <c r="BB223" s="35"/>
      <c r="BC223" s="35"/>
      <c r="BD223" s="35"/>
      <c r="BE223" s="35"/>
      <c r="BF223" s="35"/>
    </row>
    <row r="224" spans="1:58" ht="11.25" customHeight="1">
      <c r="A224" s="301" t="s">
        <v>916</v>
      </c>
      <c r="E224" s="11"/>
      <c r="F224" s="1406"/>
      <c r="G224" s="1421"/>
      <c r="H224" s="1410" t="s">
        <v>107</v>
      </c>
      <c r="I224" s="1411"/>
      <c r="J224" s="1412"/>
      <c r="K224" s="1413"/>
      <c r="L224" s="1127"/>
      <c r="M224" s="1128"/>
      <c r="N224" s="664"/>
      <c r="O224" s="665"/>
      <c r="P224" s="108" t="s">
        <v>953</v>
      </c>
      <c r="Q224" s="665"/>
      <c r="R224" s="665"/>
      <c r="S224" s="665"/>
      <c r="T224" s="665"/>
      <c r="U224" s="665"/>
      <c r="V224" s="665"/>
      <c r="W224" s="665"/>
      <c r="X224" s="665"/>
      <c r="Y224" s="665"/>
      <c r="Z224" s="665"/>
      <c r="AA224" s="665"/>
      <c r="AB224" s="665"/>
      <c r="AC224" s="665"/>
      <c r="AD224" s="665"/>
      <c r="AE224" s="672"/>
      <c r="AF224" s="1408"/>
      <c r="AG224" s="1403"/>
      <c r="AH224" s="1403"/>
      <c r="AI224" s="1408"/>
      <c r="AJ224" s="1403"/>
      <c r="AK224" s="1403"/>
      <c r="AL224" s="703"/>
      <c r="AM224" s="35"/>
      <c r="AN224" s="35"/>
      <c r="AO224" s="35"/>
      <c r="AP224" s="35"/>
      <c r="AQ224" s="35"/>
      <c r="AR224" s="35"/>
      <c r="AS224" s="35"/>
      <c r="AT224" s="35"/>
      <c r="AU224" s="35"/>
      <c r="AV224" s="35"/>
      <c r="AW224" s="35"/>
      <c r="AX224" s="35"/>
      <c r="AY224" s="35"/>
      <c r="AZ224" s="35"/>
      <c r="BA224" s="35"/>
      <c r="BB224" s="35"/>
      <c r="BC224" s="35"/>
      <c r="BD224" s="35"/>
      <c r="BE224" s="35"/>
      <c r="BF224" s="35"/>
    </row>
    <row r="225" spans="1:58" ht="12" customHeight="1">
      <c r="A225" s="301" t="s">
        <v>916</v>
      </c>
      <c r="E225" s="11"/>
      <c r="F225" s="1407"/>
      <c r="G225" s="677"/>
      <c r="H225" s="677"/>
      <c r="I225" s="1404" t="s">
        <v>961</v>
      </c>
      <c r="J225" s="1404"/>
      <c r="K225" s="1404"/>
      <c r="L225" s="662"/>
      <c r="M225" s="662"/>
      <c r="N225" s="663"/>
      <c r="O225" s="663"/>
      <c r="P225" s="663"/>
      <c r="Q225" s="663"/>
      <c r="R225" s="663"/>
      <c r="S225" s="663"/>
      <c r="T225" s="663"/>
      <c r="U225" s="663"/>
      <c r="V225" s="663"/>
      <c r="W225" s="663"/>
      <c r="X225" s="663"/>
      <c r="Y225" s="663"/>
      <c r="Z225" s="663"/>
      <c r="AA225" s="663"/>
      <c r="AB225" s="663"/>
      <c r="AC225" s="663"/>
      <c r="AD225" s="663"/>
      <c r="AE225" s="663"/>
      <c r="AF225" s="663"/>
      <c r="AG225" s="662"/>
      <c r="AH225" s="662"/>
      <c r="AI225" s="663"/>
      <c r="AJ225" s="662"/>
      <c r="AK225" s="663"/>
      <c r="AL225" s="703"/>
      <c r="AM225" s="35"/>
      <c r="AN225" s="35"/>
      <c r="AO225" s="35"/>
      <c r="AP225" s="35"/>
      <c r="AQ225" s="35"/>
      <c r="AR225" s="35"/>
      <c r="AS225" s="35"/>
      <c r="AT225" s="35"/>
      <c r="AU225" s="35"/>
      <c r="AV225" s="35"/>
      <c r="AW225" s="35"/>
      <c r="AX225" s="35"/>
      <c r="AY225" s="35"/>
      <c r="AZ225" s="35"/>
      <c r="BA225" s="35"/>
      <c r="BB225" s="35"/>
      <c r="BC225" s="35"/>
      <c r="BD225" s="35"/>
      <c r="BE225" s="35"/>
      <c r="BF225" s="35"/>
    </row>
    <row r="226" spans="1:58" ht="10.5" customHeight="1">
      <c r="E226" s="35"/>
      <c r="AL226" s="35"/>
      <c r="AM226" s="35"/>
      <c r="AN226" s="35"/>
      <c r="AO226" s="35"/>
      <c r="AP226" s="35"/>
      <c r="AQ226" s="35"/>
      <c r="AR226" s="35"/>
      <c r="AS226" s="35"/>
      <c r="AT226" s="35"/>
      <c r="AU226" s="35"/>
      <c r="AV226" s="35"/>
      <c r="AW226" s="35"/>
      <c r="AX226" s="35"/>
      <c r="AY226" s="35"/>
      <c r="AZ226" s="35"/>
      <c r="BA226" s="35"/>
      <c r="BB226" s="35"/>
      <c r="BC226" s="35"/>
      <c r="BD226" s="35"/>
      <c r="BE226" s="35"/>
      <c r="BF226" s="35"/>
    </row>
    <row r="227" spans="1:58" ht="12.75" customHeight="1">
      <c r="E227" s="35"/>
      <c r="F227" s="18" t="s">
        <v>988</v>
      </c>
      <c r="G227" s="18"/>
      <c r="H227" s="18"/>
      <c r="I227" s="18"/>
      <c r="J227" s="18"/>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c r="BF227" s="35"/>
    </row>
    <row r="229" spans="1:58" ht="10.5" customHeight="1">
      <c r="E229" s="35"/>
      <c r="F229" s="1397"/>
      <c r="G229" s="1397"/>
      <c r="H229" s="1397"/>
      <c r="I229" s="1397"/>
      <c r="J229" s="1397"/>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c r="BF229" s="35"/>
    </row>
    <row r="230" spans="1:58" ht="10.5" customHeight="1">
      <c r="E230" s="35"/>
      <c r="F230" s="1397"/>
      <c r="G230" s="1397"/>
      <c r="H230" s="1397"/>
      <c r="I230" s="1397"/>
      <c r="J230" s="1397"/>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row>
    <row r="231" spans="1:58" ht="10.5" customHeight="1">
      <c r="E231" s="35"/>
      <c r="F231" s="1397"/>
      <c r="G231" s="1397"/>
      <c r="H231" s="1397"/>
      <c r="I231" s="1397"/>
      <c r="J231" s="1397"/>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c r="BD231" s="35"/>
      <c r="BE231" s="35"/>
      <c r="BF231" s="35"/>
    </row>
  </sheetData>
  <sheetProtection formatColumns="0" formatRows="0" insertRows="0" deleteColumns="0" deleteRows="0" sort="0" autoFilter="0"/>
  <mergeCells count="1038">
    <mergeCell ref="H220:H224"/>
    <mergeCell ref="I220:I224"/>
    <mergeCell ref="J220:J224"/>
    <mergeCell ref="K220:K224"/>
    <mergeCell ref="L220:L224"/>
    <mergeCell ref="M220:M224"/>
    <mergeCell ref="G220:G224"/>
    <mergeCell ref="AF220:AF224"/>
    <mergeCell ref="AG220:AG224"/>
    <mergeCell ref="AH220:AH224"/>
    <mergeCell ref="AI220:AI224"/>
    <mergeCell ref="AJ220:AJ224"/>
    <mergeCell ref="AK220:AK224"/>
    <mergeCell ref="N221:N223"/>
    <mergeCell ref="O221:O223"/>
    <mergeCell ref="P221:P223"/>
    <mergeCell ref="Q221:Q223"/>
    <mergeCell ref="R221:R223"/>
    <mergeCell ref="S221:S223"/>
    <mergeCell ref="T221:T223"/>
    <mergeCell ref="U221:U223"/>
    <mergeCell ref="V221:V223"/>
    <mergeCell ref="W221:W223"/>
    <mergeCell ref="X221:X223"/>
    <mergeCell ref="Y221:Y223"/>
    <mergeCell ref="H210:H214"/>
    <mergeCell ref="I210:I214"/>
    <mergeCell ref="J210:J214"/>
    <mergeCell ref="K210:K214"/>
    <mergeCell ref="L210:L214"/>
    <mergeCell ref="M210:M214"/>
    <mergeCell ref="G210:G214"/>
    <mergeCell ref="AF215:AF219"/>
    <mergeCell ref="AG215:AG219"/>
    <mergeCell ref="AH215:AH219"/>
    <mergeCell ref="AI215:AI219"/>
    <mergeCell ref="AJ215:AJ219"/>
    <mergeCell ref="AK215:AK219"/>
    <mergeCell ref="N216:N218"/>
    <mergeCell ref="O216:O218"/>
    <mergeCell ref="P216:P218"/>
    <mergeCell ref="Q216:Q218"/>
    <mergeCell ref="R216:R218"/>
    <mergeCell ref="S216:S218"/>
    <mergeCell ref="T216:T218"/>
    <mergeCell ref="U216:U218"/>
    <mergeCell ref="V216:V218"/>
    <mergeCell ref="W216:W218"/>
    <mergeCell ref="X216:X218"/>
    <mergeCell ref="Y216:Y218"/>
    <mergeCell ref="H215:H219"/>
    <mergeCell ref="I215:I219"/>
    <mergeCell ref="J215:J219"/>
    <mergeCell ref="K215:K219"/>
    <mergeCell ref="L215:L219"/>
    <mergeCell ref="M215:M219"/>
    <mergeCell ref="G215:G219"/>
    <mergeCell ref="AF210:AF214"/>
    <mergeCell ref="AG210:AG214"/>
    <mergeCell ref="AH210:AH214"/>
    <mergeCell ref="AI210:AI214"/>
    <mergeCell ref="AJ210:AJ214"/>
    <mergeCell ref="AK210:AK214"/>
    <mergeCell ref="N211:N213"/>
    <mergeCell ref="O211:O213"/>
    <mergeCell ref="P211:P213"/>
    <mergeCell ref="Q211:Q213"/>
    <mergeCell ref="R211:R213"/>
    <mergeCell ref="S211:S213"/>
    <mergeCell ref="T211:T213"/>
    <mergeCell ref="U211:U213"/>
    <mergeCell ref="V211:V213"/>
    <mergeCell ref="W211:W213"/>
    <mergeCell ref="X211:X213"/>
    <mergeCell ref="Y211:Y213"/>
    <mergeCell ref="G200:G204"/>
    <mergeCell ref="AF205:AF209"/>
    <mergeCell ref="AG205:AG209"/>
    <mergeCell ref="AH205:AH209"/>
    <mergeCell ref="AI205:AI209"/>
    <mergeCell ref="AJ205:AJ209"/>
    <mergeCell ref="AK205:AK209"/>
    <mergeCell ref="N206:N208"/>
    <mergeCell ref="O206:O208"/>
    <mergeCell ref="P206:P208"/>
    <mergeCell ref="Q206:Q208"/>
    <mergeCell ref="R206:R208"/>
    <mergeCell ref="S206:S208"/>
    <mergeCell ref="T206:T208"/>
    <mergeCell ref="U206:U208"/>
    <mergeCell ref="V206:V208"/>
    <mergeCell ref="W206:W208"/>
    <mergeCell ref="X206:X208"/>
    <mergeCell ref="Y206:Y208"/>
    <mergeCell ref="H205:H209"/>
    <mergeCell ref="I205:I209"/>
    <mergeCell ref="J205:J209"/>
    <mergeCell ref="K205:K209"/>
    <mergeCell ref="L205:L209"/>
    <mergeCell ref="M205:M209"/>
    <mergeCell ref="G205:G209"/>
    <mergeCell ref="AK200:AK204"/>
    <mergeCell ref="N201:N203"/>
    <mergeCell ref="O201:O203"/>
    <mergeCell ref="P201:P203"/>
    <mergeCell ref="Q201:Q203"/>
    <mergeCell ref="R201:R203"/>
    <mergeCell ref="S201:S203"/>
    <mergeCell ref="T201:T203"/>
    <mergeCell ref="U201:U203"/>
    <mergeCell ref="V201:V203"/>
    <mergeCell ref="W201:W203"/>
    <mergeCell ref="X201:X203"/>
    <mergeCell ref="Y201:Y203"/>
    <mergeCell ref="H200:H204"/>
    <mergeCell ref="I200:I204"/>
    <mergeCell ref="J200:J204"/>
    <mergeCell ref="K200:K204"/>
    <mergeCell ref="L200:L204"/>
    <mergeCell ref="M200:M204"/>
    <mergeCell ref="H182:H187"/>
    <mergeCell ref="I182:I187"/>
    <mergeCell ref="J182:J187"/>
    <mergeCell ref="K182:K187"/>
    <mergeCell ref="L182:L187"/>
    <mergeCell ref="M182:M187"/>
    <mergeCell ref="G182:G187"/>
    <mergeCell ref="AF188:AF192"/>
    <mergeCell ref="AG188:AG192"/>
    <mergeCell ref="AH188:AH192"/>
    <mergeCell ref="AI188:AI192"/>
    <mergeCell ref="AJ188:AJ192"/>
    <mergeCell ref="AK188:AK192"/>
    <mergeCell ref="N189:N191"/>
    <mergeCell ref="O189:O191"/>
    <mergeCell ref="P189:P191"/>
    <mergeCell ref="Q189:Q191"/>
    <mergeCell ref="R189:R191"/>
    <mergeCell ref="S189:S191"/>
    <mergeCell ref="T189:T191"/>
    <mergeCell ref="U189:U191"/>
    <mergeCell ref="V189:V191"/>
    <mergeCell ref="W189:W191"/>
    <mergeCell ref="X189:X191"/>
    <mergeCell ref="Y189:Y191"/>
    <mergeCell ref="H188:H192"/>
    <mergeCell ref="I188:I192"/>
    <mergeCell ref="J188:J192"/>
    <mergeCell ref="K188:K192"/>
    <mergeCell ref="L188:L192"/>
    <mergeCell ref="M188:M192"/>
    <mergeCell ref="G188:G192"/>
    <mergeCell ref="AF182:AF187"/>
    <mergeCell ref="AG182:AG187"/>
    <mergeCell ref="AH182:AH187"/>
    <mergeCell ref="AI182:AI187"/>
    <mergeCell ref="AJ182:AJ187"/>
    <mergeCell ref="AK182:AK187"/>
    <mergeCell ref="N183:N186"/>
    <mergeCell ref="O183:O186"/>
    <mergeCell ref="P183:P186"/>
    <mergeCell ref="Q183:Q186"/>
    <mergeCell ref="R183:R186"/>
    <mergeCell ref="S183:S186"/>
    <mergeCell ref="T183:T186"/>
    <mergeCell ref="U183:U186"/>
    <mergeCell ref="V183:V186"/>
    <mergeCell ref="W183:W186"/>
    <mergeCell ref="X183:X186"/>
    <mergeCell ref="Y183:Y186"/>
    <mergeCell ref="H172:H176"/>
    <mergeCell ref="I172:I176"/>
    <mergeCell ref="J172:J176"/>
    <mergeCell ref="K172:K176"/>
    <mergeCell ref="L172:L176"/>
    <mergeCell ref="M172:M176"/>
    <mergeCell ref="G172:G176"/>
    <mergeCell ref="AF177:AF181"/>
    <mergeCell ref="AG177:AG181"/>
    <mergeCell ref="AH177:AH181"/>
    <mergeCell ref="AI177:AI181"/>
    <mergeCell ref="AJ177:AJ181"/>
    <mergeCell ref="AK177:AK181"/>
    <mergeCell ref="N178:N180"/>
    <mergeCell ref="O178:O180"/>
    <mergeCell ref="P178:P180"/>
    <mergeCell ref="Q178:Q180"/>
    <mergeCell ref="R178:R180"/>
    <mergeCell ref="S178:S180"/>
    <mergeCell ref="T178:T180"/>
    <mergeCell ref="U178:U180"/>
    <mergeCell ref="V178:V180"/>
    <mergeCell ref="W178:W180"/>
    <mergeCell ref="X178:X180"/>
    <mergeCell ref="Y178:Y180"/>
    <mergeCell ref="H177:H181"/>
    <mergeCell ref="I177:I181"/>
    <mergeCell ref="J177:J181"/>
    <mergeCell ref="K177:K181"/>
    <mergeCell ref="L177:L181"/>
    <mergeCell ref="M177:M181"/>
    <mergeCell ref="G177:G181"/>
    <mergeCell ref="AF172:AF176"/>
    <mergeCell ref="AG172:AG176"/>
    <mergeCell ref="AH172:AH176"/>
    <mergeCell ref="AI172:AI176"/>
    <mergeCell ref="AJ172:AJ176"/>
    <mergeCell ref="AK172:AK176"/>
    <mergeCell ref="N173:N175"/>
    <mergeCell ref="O173:O175"/>
    <mergeCell ref="P173:P175"/>
    <mergeCell ref="Q173:Q175"/>
    <mergeCell ref="R173:R175"/>
    <mergeCell ref="S173:S175"/>
    <mergeCell ref="T173:T175"/>
    <mergeCell ref="U173:U175"/>
    <mergeCell ref="V173:V175"/>
    <mergeCell ref="W173:W175"/>
    <mergeCell ref="X173:X175"/>
    <mergeCell ref="Y173:Y175"/>
    <mergeCell ref="G162:G166"/>
    <mergeCell ref="AF167:AF171"/>
    <mergeCell ref="AG167:AG171"/>
    <mergeCell ref="AH167:AH171"/>
    <mergeCell ref="AI167:AI171"/>
    <mergeCell ref="AJ167:AJ171"/>
    <mergeCell ref="AK167:AK171"/>
    <mergeCell ref="N168:N170"/>
    <mergeCell ref="O168:O170"/>
    <mergeCell ref="P168:P170"/>
    <mergeCell ref="Q168:Q170"/>
    <mergeCell ref="R168:R170"/>
    <mergeCell ref="S168:S170"/>
    <mergeCell ref="T168:T170"/>
    <mergeCell ref="U168:U170"/>
    <mergeCell ref="V168:V170"/>
    <mergeCell ref="W168:W170"/>
    <mergeCell ref="X168:X170"/>
    <mergeCell ref="Y168:Y170"/>
    <mergeCell ref="H167:H171"/>
    <mergeCell ref="I167:I171"/>
    <mergeCell ref="J167:J171"/>
    <mergeCell ref="K167:K171"/>
    <mergeCell ref="L167:L171"/>
    <mergeCell ref="M167:M171"/>
    <mergeCell ref="G167:G171"/>
    <mergeCell ref="AK162:AK166"/>
    <mergeCell ref="N163:N165"/>
    <mergeCell ref="O163:O165"/>
    <mergeCell ref="P163:P165"/>
    <mergeCell ref="Q163:Q165"/>
    <mergeCell ref="R163:R165"/>
    <mergeCell ref="S163:S165"/>
    <mergeCell ref="T163:T165"/>
    <mergeCell ref="U163:U165"/>
    <mergeCell ref="V163:V165"/>
    <mergeCell ref="W163:W165"/>
    <mergeCell ref="X163:X165"/>
    <mergeCell ref="Y163:Y165"/>
    <mergeCell ref="H162:H166"/>
    <mergeCell ref="I162:I166"/>
    <mergeCell ref="J162:J166"/>
    <mergeCell ref="K162:K166"/>
    <mergeCell ref="L162:L166"/>
    <mergeCell ref="M162:M166"/>
    <mergeCell ref="H145:H149"/>
    <mergeCell ref="I145:I149"/>
    <mergeCell ref="J145:J149"/>
    <mergeCell ref="K145:K149"/>
    <mergeCell ref="L145:L149"/>
    <mergeCell ref="M145:M149"/>
    <mergeCell ref="G145:G149"/>
    <mergeCell ref="AF150:AF154"/>
    <mergeCell ref="AG150:AG154"/>
    <mergeCell ref="AH150:AH154"/>
    <mergeCell ref="AI150:AI154"/>
    <mergeCell ref="AJ150:AJ154"/>
    <mergeCell ref="AK150:AK154"/>
    <mergeCell ref="N151:N153"/>
    <mergeCell ref="O151:O153"/>
    <mergeCell ref="P151:P153"/>
    <mergeCell ref="Q151:Q153"/>
    <mergeCell ref="R151:R153"/>
    <mergeCell ref="S151:S153"/>
    <mergeCell ref="T151:T153"/>
    <mergeCell ref="U151:U153"/>
    <mergeCell ref="V151:V153"/>
    <mergeCell ref="W151:W153"/>
    <mergeCell ref="X151:X153"/>
    <mergeCell ref="Y151:Y153"/>
    <mergeCell ref="H150:H154"/>
    <mergeCell ref="I150:I154"/>
    <mergeCell ref="J150:J154"/>
    <mergeCell ref="K150:K154"/>
    <mergeCell ref="L150:L154"/>
    <mergeCell ref="M150:M154"/>
    <mergeCell ref="G150:G154"/>
    <mergeCell ref="AF145:AF149"/>
    <mergeCell ref="AG145:AG149"/>
    <mergeCell ref="AH145:AH149"/>
    <mergeCell ref="AI145:AI149"/>
    <mergeCell ref="AJ145:AJ149"/>
    <mergeCell ref="AK145:AK149"/>
    <mergeCell ref="N146:N148"/>
    <mergeCell ref="O146:O148"/>
    <mergeCell ref="P146:P148"/>
    <mergeCell ref="Q146:Q148"/>
    <mergeCell ref="R146:R148"/>
    <mergeCell ref="S146:S148"/>
    <mergeCell ref="T146:T148"/>
    <mergeCell ref="U146:U148"/>
    <mergeCell ref="V146:V148"/>
    <mergeCell ref="W146:W148"/>
    <mergeCell ref="X146:X148"/>
    <mergeCell ref="Y146:Y148"/>
    <mergeCell ref="H135:H139"/>
    <mergeCell ref="I135:I139"/>
    <mergeCell ref="J135:J139"/>
    <mergeCell ref="K135:K139"/>
    <mergeCell ref="L135:L139"/>
    <mergeCell ref="M135:M139"/>
    <mergeCell ref="G135:G139"/>
    <mergeCell ref="AF140:AF144"/>
    <mergeCell ref="AG140:AG144"/>
    <mergeCell ref="AH140:AH144"/>
    <mergeCell ref="AI140:AI144"/>
    <mergeCell ref="AJ140:AJ144"/>
    <mergeCell ref="AK140:AK144"/>
    <mergeCell ref="N141:N143"/>
    <mergeCell ref="O141:O143"/>
    <mergeCell ref="P141:P143"/>
    <mergeCell ref="Q141:Q143"/>
    <mergeCell ref="R141:R143"/>
    <mergeCell ref="S141:S143"/>
    <mergeCell ref="T141:T143"/>
    <mergeCell ref="U141:U143"/>
    <mergeCell ref="V141:V143"/>
    <mergeCell ref="W141:W143"/>
    <mergeCell ref="X141:X143"/>
    <mergeCell ref="Y141:Y143"/>
    <mergeCell ref="H140:H144"/>
    <mergeCell ref="I140:I144"/>
    <mergeCell ref="J140:J144"/>
    <mergeCell ref="K140:K144"/>
    <mergeCell ref="L140:L144"/>
    <mergeCell ref="M140:M144"/>
    <mergeCell ref="G140:G144"/>
    <mergeCell ref="AF135:AF139"/>
    <mergeCell ref="AG135:AG139"/>
    <mergeCell ref="AH135:AH139"/>
    <mergeCell ref="AI135:AI139"/>
    <mergeCell ref="AJ135:AJ139"/>
    <mergeCell ref="AK135:AK139"/>
    <mergeCell ref="N136:N138"/>
    <mergeCell ref="O136:O138"/>
    <mergeCell ref="P136:P138"/>
    <mergeCell ref="Q136:Q138"/>
    <mergeCell ref="R136:R138"/>
    <mergeCell ref="S136:S138"/>
    <mergeCell ref="T136:T138"/>
    <mergeCell ref="U136:U138"/>
    <mergeCell ref="V136:V138"/>
    <mergeCell ref="W136:W138"/>
    <mergeCell ref="X136:X138"/>
    <mergeCell ref="Y136:Y138"/>
    <mergeCell ref="H123:H128"/>
    <mergeCell ref="I123:I128"/>
    <mergeCell ref="J123:J128"/>
    <mergeCell ref="K123:K128"/>
    <mergeCell ref="L123:L128"/>
    <mergeCell ref="M123:M128"/>
    <mergeCell ref="G123:G128"/>
    <mergeCell ref="AF129:AF134"/>
    <mergeCell ref="AG129:AG134"/>
    <mergeCell ref="AH129:AH134"/>
    <mergeCell ref="AI129:AI134"/>
    <mergeCell ref="AJ129:AJ134"/>
    <mergeCell ref="AK129:AK134"/>
    <mergeCell ref="N130:N133"/>
    <mergeCell ref="O130:O133"/>
    <mergeCell ref="P130:P133"/>
    <mergeCell ref="Q130:Q133"/>
    <mergeCell ref="R130:R133"/>
    <mergeCell ref="S130:S133"/>
    <mergeCell ref="T130:T133"/>
    <mergeCell ref="U130:U133"/>
    <mergeCell ref="V130:V133"/>
    <mergeCell ref="W130:W133"/>
    <mergeCell ref="X130:X133"/>
    <mergeCell ref="Y130:Y133"/>
    <mergeCell ref="H129:H134"/>
    <mergeCell ref="I129:I134"/>
    <mergeCell ref="J129:J134"/>
    <mergeCell ref="K129:K134"/>
    <mergeCell ref="L129:L134"/>
    <mergeCell ref="M129:M134"/>
    <mergeCell ref="G129:G134"/>
    <mergeCell ref="AF123:AF128"/>
    <mergeCell ref="AG123:AG128"/>
    <mergeCell ref="AH123:AH128"/>
    <mergeCell ref="AI123:AI128"/>
    <mergeCell ref="AJ123:AJ128"/>
    <mergeCell ref="AK123:AK128"/>
    <mergeCell ref="N124:N127"/>
    <mergeCell ref="O124:O127"/>
    <mergeCell ref="P124:P127"/>
    <mergeCell ref="Q124:Q127"/>
    <mergeCell ref="R124:R127"/>
    <mergeCell ref="S124:S127"/>
    <mergeCell ref="T124:T127"/>
    <mergeCell ref="U124:U127"/>
    <mergeCell ref="V124:V127"/>
    <mergeCell ref="W124:W127"/>
    <mergeCell ref="X124:X127"/>
    <mergeCell ref="Y124:Y127"/>
    <mergeCell ref="H113:H117"/>
    <mergeCell ref="I113:I117"/>
    <mergeCell ref="J113:J117"/>
    <mergeCell ref="K113:K117"/>
    <mergeCell ref="L113:L117"/>
    <mergeCell ref="M113:M117"/>
    <mergeCell ref="G113:G117"/>
    <mergeCell ref="AF118:AF122"/>
    <mergeCell ref="AG118:AG122"/>
    <mergeCell ref="AH118:AH122"/>
    <mergeCell ref="AI118:AI122"/>
    <mergeCell ref="AJ118:AJ122"/>
    <mergeCell ref="AK118:AK122"/>
    <mergeCell ref="N119:N121"/>
    <mergeCell ref="O119:O121"/>
    <mergeCell ref="P119:P121"/>
    <mergeCell ref="Q119:Q121"/>
    <mergeCell ref="R119:R121"/>
    <mergeCell ref="S119:S121"/>
    <mergeCell ref="T119:T121"/>
    <mergeCell ref="U119:U121"/>
    <mergeCell ref="V119:V121"/>
    <mergeCell ref="W119:W121"/>
    <mergeCell ref="X119:X121"/>
    <mergeCell ref="Y119:Y121"/>
    <mergeCell ref="H118:H122"/>
    <mergeCell ref="I118:I122"/>
    <mergeCell ref="J118:J122"/>
    <mergeCell ref="K118:K122"/>
    <mergeCell ref="L118:L122"/>
    <mergeCell ref="M118:M122"/>
    <mergeCell ref="G118:G122"/>
    <mergeCell ref="AF113:AF117"/>
    <mergeCell ref="AG113:AG117"/>
    <mergeCell ref="AH113:AH117"/>
    <mergeCell ref="AI113:AI117"/>
    <mergeCell ref="AJ113:AJ117"/>
    <mergeCell ref="AK113:AK117"/>
    <mergeCell ref="N114:N116"/>
    <mergeCell ref="O114:O116"/>
    <mergeCell ref="P114:P116"/>
    <mergeCell ref="Q114:Q116"/>
    <mergeCell ref="R114:R116"/>
    <mergeCell ref="S114:S116"/>
    <mergeCell ref="T114:T116"/>
    <mergeCell ref="U114:U116"/>
    <mergeCell ref="V114:V116"/>
    <mergeCell ref="W114:W116"/>
    <mergeCell ref="X114:X116"/>
    <mergeCell ref="Y114:Y116"/>
    <mergeCell ref="H103:H107"/>
    <mergeCell ref="I103:I107"/>
    <mergeCell ref="J103:J107"/>
    <mergeCell ref="K103:K107"/>
    <mergeCell ref="L103:L107"/>
    <mergeCell ref="M103:M107"/>
    <mergeCell ref="G103:G107"/>
    <mergeCell ref="AF108:AF112"/>
    <mergeCell ref="AG108:AG112"/>
    <mergeCell ref="AH108:AH112"/>
    <mergeCell ref="AI108:AI112"/>
    <mergeCell ref="AJ108:AJ112"/>
    <mergeCell ref="AK108:AK112"/>
    <mergeCell ref="N109:N111"/>
    <mergeCell ref="O109:O111"/>
    <mergeCell ref="P109:P111"/>
    <mergeCell ref="Q109:Q111"/>
    <mergeCell ref="R109:R111"/>
    <mergeCell ref="S109:S111"/>
    <mergeCell ref="T109:T111"/>
    <mergeCell ref="U109:U111"/>
    <mergeCell ref="V109:V111"/>
    <mergeCell ref="W109:W111"/>
    <mergeCell ref="X109:X111"/>
    <mergeCell ref="Y109:Y111"/>
    <mergeCell ref="H108:H112"/>
    <mergeCell ref="I108:I112"/>
    <mergeCell ref="J108:J112"/>
    <mergeCell ref="K108:K112"/>
    <mergeCell ref="L108:L112"/>
    <mergeCell ref="M108:M112"/>
    <mergeCell ref="G108:G112"/>
    <mergeCell ref="AF103:AF107"/>
    <mergeCell ref="AG103:AG107"/>
    <mergeCell ref="AH103:AH107"/>
    <mergeCell ref="AI103:AI107"/>
    <mergeCell ref="AJ103:AJ107"/>
    <mergeCell ref="AK103:AK107"/>
    <mergeCell ref="N104:N106"/>
    <mergeCell ref="O104:O106"/>
    <mergeCell ref="P104:P106"/>
    <mergeCell ref="Q104:Q106"/>
    <mergeCell ref="R104:R106"/>
    <mergeCell ref="S104:S106"/>
    <mergeCell ref="T104:T106"/>
    <mergeCell ref="U104:U106"/>
    <mergeCell ref="V104:V106"/>
    <mergeCell ref="W104:W106"/>
    <mergeCell ref="X104:X106"/>
    <mergeCell ref="Y104:Y106"/>
    <mergeCell ref="G93:G97"/>
    <mergeCell ref="AF98:AF102"/>
    <mergeCell ref="AG98:AG102"/>
    <mergeCell ref="AH98:AH102"/>
    <mergeCell ref="AI98:AI102"/>
    <mergeCell ref="AJ98:AJ102"/>
    <mergeCell ref="AK98:AK102"/>
    <mergeCell ref="N99:N101"/>
    <mergeCell ref="O99:O101"/>
    <mergeCell ref="P99:P101"/>
    <mergeCell ref="Q99:Q101"/>
    <mergeCell ref="R99:R101"/>
    <mergeCell ref="S99:S101"/>
    <mergeCell ref="T99:T101"/>
    <mergeCell ref="U99:U101"/>
    <mergeCell ref="V99:V101"/>
    <mergeCell ref="W99:W101"/>
    <mergeCell ref="X99:X101"/>
    <mergeCell ref="Y99:Y101"/>
    <mergeCell ref="H98:H102"/>
    <mergeCell ref="I98:I102"/>
    <mergeCell ref="J98:J102"/>
    <mergeCell ref="K98:K102"/>
    <mergeCell ref="L98:L102"/>
    <mergeCell ref="M98:M102"/>
    <mergeCell ref="G98:G102"/>
    <mergeCell ref="AK93:AK97"/>
    <mergeCell ref="N94:N96"/>
    <mergeCell ref="O94:O96"/>
    <mergeCell ref="P94:P96"/>
    <mergeCell ref="Q94:Q96"/>
    <mergeCell ref="R94:R96"/>
    <mergeCell ref="S94:S96"/>
    <mergeCell ref="T94:T96"/>
    <mergeCell ref="U94:U96"/>
    <mergeCell ref="V94:V96"/>
    <mergeCell ref="W94:W96"/>
    <mergeCell ref="X94:X96"/>
    <mergeCell ref="Y94:Y96"/>
    <mergeCell ref="H93:H97"/>
    <mergeCell ref="I93:I97"/>
    <mergeCell ref="J93:J97"/>
    <mergeCell ref="K93:K97"/>
    <mergeCell ref="L93:L97"/>
    <mergeCell ref="M93:M97"/>
    <mergeCell ref="H76:H80"/>
    <mergeCell ref="I76:I80"/>
    <mergeCell ref="J76:J80"/>
    <mergeCell ref="K76:K80"/>
    <mergeCell ref="L76:L80"/>
    <mergeCell ref="M76:M80"/>
    <mergeCell ref="G76:G80"/>
    <mergeCell ref="AF81:AF85"/>
    <mergeCell ref="AG81:AG85"/>
    <mergeCell ref="AH81:AH85"/>
    <mergeCell ref="AI81:AI85"/>
    <mergeCell ref="AJ81:AJ85"/>
    <mergeCell ref="AK81:AK85"/>
    <mergeCell ref="N82:N84"/>
    <mergeCell ref="O82:O84"/>
    <mergeCell ref="P82:P84"/>
    <mergeCell ref="Q82:Q84"/>
    <mergeCell ref="R82:R84"/>
    <mergeCell ref="S82:S84"/>
    <mergeCell ref="T82:T84"/>
    <mergeCell ref="U82:U84"/>
    <mergeCell ref="V82:V84"/>
    <mergeCell ref="W82:W84"/>
    <mergeCell ref="X82:X84"/>
    <mergeCell ref="Y82:Y84"/>
    <mergeCell ref="H81:H85"/>
    <mergeCell ref="I81:I85"/>
    <mergeCell ref="J81:J85"/>
    <mergeCell ref="K81:K85"/>
    <mergeCell ref="L81:L85"/>
    <mergeCell ref="M81:M85"/>
    <mergeCell ref="G81:G85"/>
    <mergeCell ref="AF76:AF80"/>
    <mergeCell ref="AG76:AG80"/>
    <mergeCell ref="AH76:AH80"/>
    <mergeCell ref="AI76:AI80"/>
    <mergeCell ref="AJ76:AJ80"/>
    <mergeCell ref="AK76:AK80"/>
    <mergeCell ref="N77:N79"/>
    <mergeCell ref="O77:O79"/>
    <mergeCell ref="P77:P79"/>
    <mergeCell ref="Q77:Q79"/>
    <mergeCell ref="R77:R79"/>
    <mergeCell ref="S77:S79"/>
    <mergeCell ref="T77:T79"/>
    <mergeCell ref="U77:U79"/>
    <mergeCell ref="V77:V79"/>
    <mergeCell ref="W77:W79"/>
    <mergeCell ref="X77:X79"/>
    <mergeCell ref="Y77:Y79"/>
    <mergeCell ref="H66:H70"/>
    <mergeCell ref="I66:I70"/>
    <mergeCell ref="J66:J70"/>
    <mergeCell ref="K66:K70"/>
    <mergeCell ref="L66:L70"/>
    <mergeCell ref="M66:M70"/>
    <mergeCell ref="G66:G70"/>
    <mergeCell ref="AF71:AF75"/>
    <mergeCell ref="AG71:AG75"/>
    <mergeCell ref="AH71:AH75"/>
    <mergeCell ref="AI71:AI75"/>
    <mergeCell ref="AJ71:AJ75"/>
    <mergeCell ref="AK71:AK75"/>
    <mergeCell ref="N72:N74"/>
    <mergeCell ref="O72:O74"/>
    <mergeCell ref="P72:P74"/>
    <mergeCell ref="Q72:Q74"/>
    <mergeCell ref="R72:R74"/>
    <mergeCell ref="S72:S74"/>
    <mergeCell ref="T72:T74"/>
    <mergeCell ref="U72:U74"/>
    <mergeCell ref="V72:V74"/>
    <mergeCell ref="W72:W74"/>
    <mergeCell ref="X72:X74"/>
    <mergeCell ref="Y72:Y74"/>
    <mergeCell ref="H71:H75"/>
    <mergeCell ref="I71:I75"/>
    <mergeCell ref="J71:J75"/>
    <mergeCell ref="K71:K75"/>
    <mergeCell ref="L71:L75"/>
    <mergeCell ref="M71:M75"/>
    <mergeCell ref="G71:G75"/>
    <mergeCell ref="AF66:AF70"/>
    <mergeCell ref="AG66:AG70"/>
    <mergeCell ref="AH66:AH70"/>
    <mergeCell ref="AI66:AI70"/>
    <mergeCell ref="AJ66:AJ70"/>
    <mergeCell ref="AK66:AK70"/>
    <mergeCell ref="N67:N69"/>
    <mergeCell ref="O67:O69"/>
    <mergeCell ref="P67:P69"/>
    <mergeCell ref="Q67:Q69"/>
    <mergeCell ref="R67:R69"/>
    <mergeCell ref="S67:S69"/>
    <mergeCell ref="T67:T69"/>
    <mergeCell ref="U67:U69"/>
    <mergeCell ref="V67:V69"/>
    <mergeCell ref="W67:W69"/>
    <mergeCell ref="X67:X69"/>
    <mergeCell ref="Y67:Y69"/>
    <mergeCell ref="H50:H54"/>
    <mergeCell ref="I50:I54"/>
    <mergeCell ref="J50:J54"/>
    <mergeCell ref="K50:K54"/>
    <mergeCell ref="L50:L54"/>
    <mergeCell ref="M50:M54"/>
    <mergeCell ref="G50:G54"/>
    <mergeCell ref="AF61:AF65"/>
    <mergeCell ref="AG61:AG65"/>
    <mergeCell ref="AH61:AH65"/>
    <mergeCell ref="AI61:AI65"/>
    <mergeCell ref="AJ61:AJ65"/>
    <mergeCell ref="AK61:AK65"/>
    <mergeCell ref="N62:N64"/>
    <mergeCell ref="O62:O64"/>
    <mergeCell ref="P62:P64"/>
    <mergeCell ref="Q62:Q64"/>
    <mergeCell ref="R62:R64"/>
    <mergeCell ref="S62:S64"/>
    <mergeCell ref="T62:T64"/>
    <mergeCell ref="U62:U64"/>
    <mergeCell ref="V62:V64"/>
    <mergeCell ref="W62:W64"/>
    <mergeCell ref="X62:X64"/>
    <mergeCell ref="Y62:Y64"/>
    <mergeCell ref="H61:H65"/>
    <mergeCell ref="I61:I65"/>
    <mergeCell ref="J61:J65"/>
    <mergeCell ref="K61:K65"/>
    <mergeCell ref="L61:L65"/>
    <mergeCell ref="M61:M65"/>
    <mergeCell ref="G61:G65"/>
    <mergeCell ref="AF50:AF54"/>
    <mergeCell ref="AG50:AG54"/>
    <mergeCell ref="AH50:AH54"/>
    <mergeCell ref="AI50:AI54"/>
    <mergeCell ref="AJ50:AJ54"/>
    <mergeCell ref="AK50:AK54"/>
    <mergeCell ref="N51:N53"/>
    <mergeCell ref="O51:O53"/>
    <mergeCell ref="P51:P53"/>
    <mergeCell ref="Q51:Q53"/>
    <mergeCell ref="R51:R53"/>
    <mergeCell ref="S51:S53"/>
    <mergeCell ref="T51:T53"/>
    <mergeCell ref="U51:U53"/>
    <mergeCell ref="V51:V53"/>
    <mergeCell ref="W51:W53"/>
    <mergeCell ref="X51:X53"/>
    <mergeCell ref="Y51:Y53"/>
    <mergeCell ref="H40:H44"/>
    <mergeCell ref="I40:I44"/>
    <mergeCell ref="J40:J44"/>
    <mergeCell ref="K40:K44"/>
    <mergeCell ref="L40:L44"/>
    <mergeCell ref="M40:M44"/>
    <mergeCell ref="G40:G44"/>
    <mergeCell ref="AF45:AF49"/>
    <mergeCell ref="AG45:AG49"/>
    <mergeCell ref="AH45:AH49"/>
    <mergeCell ref="AI45:AI49"/>
    <mergeCell ref="AJ45:AJ49"/>
    <mergeCell ref="AK45:AK49"/>
    <mergeCell ref="N46:N48"/>
    <mergeCell ref="O46:O48"/>
    <mergeCell ref="P46:P48"/>
    <mergeCell ref="Q46:Q48"/>
    <mergeCell ref="R46:R48"/>
    <mergeCell ref="S46:S48"/>
    <mergeCell ref="T46:T48"/>
    <mergeCell ref="U46:U48"/>
    <mergeCell ref="V46:V48"/>
    <mergeCell ref="W46:W48"/>
    <mergeCell ref="X46:X48"/>
    <mergeCell ref="Y46:Y48"/>
    <mergeCell ref="H45:H49"/>
    <mergeCell ref="I45:I49"/>
    <mergeCell ref="J45:J49"/>
    <mergeCell ref="K45:K49"/>
    <mergeCell ref="L45:L49"/>
    <mergeCell ref="M45:M49"/>
    <mergeCell ref="G45:G49"/>
    <mergeCell ref="AF40:AF44"/>
    <mergeCell ref="AG40:AG44"/>
    <mergeCell ref="AH40:AH44"/>
    <mergeCell ref="AI40:AI44"/>
    <mergeCell ref="AJ40:AJ44"/>
    <mergeCell ref="AK40:AK44"/>
    <mergeCell ref="N41:N43"/>
    <mergeCell ref="O41:O43"/>
    <mergeCell ref="P41:P43"/>
    <mergeCell ref="Q41:Q43"/>
    <mergeCell ref="R41:R43"/>
    <mergeCell ref="S41:S43"/>
    <mergeCell ref="T41:T43"/>
    <mergeCell ref="U41:U43"/>
    <mergeCell ref="V41:V43"/>
    <mergeCell ref="W41:W43"/>
    <mergeCell ref="X41:X43"/>
    <mergeCell ref="Y41:Y43"/>
    <mergeCell ref="H30:H34"/>
    <mergeCell ref="I30:I34"/>
    <mergeCell ref="J30:J34"/>
    <mergeCell ref="K30:K34"/>
    <mergeCell ref="L30:L34"/>
    <mergeCell ref="M30:M34"/>
    <mergeCell ref="G30:G34"/>
    <mergeCell ref="AF35:AF39"/>
    <mergeCell ref="AG35:AG39"/>
    <mergeCell ref="AH35:AH39"/>
    <mergeCell ref="AI35:AI39"/>
    <mergeCell ref="AJ35:AJ39"/>
    <mergeCell ref="AK35:AK39"/>
    <mergeCell ref="N36:N38"/>
    <mergeCell ref="O36:O38"/>
    <mergeCell ref="P36:P38"/>
    <mergeCell ref="Q36:Q38"/>
    <mergeCell ref="R36:R38"/>
    <mergeCell ref="S36:S38"/>
    <mergeCell ref="T36:T38"/>
    <mergeCell ref="U36:U38"/>
    <mergeCell ref="V36:V38"/>
    <mergeCell ref="W36:W38"/>
    <mergeCell ref="X36:X38"/>
    <mergeCell ref="Y36:Y38"/>
    <mergeCell ref="H35:H39"/>
    <mergeCell ref="I35:I39"/>
    <mergeCell ref="J35:J39"/>
    <mergeCell ref="K35:K39"/>
    <mergeCell ref="L35:L39"/>
    <mergeCell ref="M35:M39"/>
    <mergeCell ref="G35:G39"/>
    <mergeCell ref="AF30:AF34"/>
    <mergeCell ref="AG30:AG34"/>
    <mergeCell ref="AH30:AH34"/>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H20:H24"/>
    <mergeCell ref="I20:I24"/>
    <mergeCell ref="J20:J24"/>
    <mergeCell ref="K20:K24"/>
    <mergeCell ref="L20:L24"/>
    <mergeCell ref="M20:M24"/>
    <mergeCell ref="G20:G24"/>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H25:H29"/>
    <mergeCell ref="I25:I29"/>
    <mergeCell ref="J25:J29"/>
    <mergeCell ref="K25:K29"/>
    <mergeCell ref="L25:L29"/>
    <mergeCell ref="M25:M29"/>
    <mergeCell ref="G25:G29"/>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AJ194:AJ199"/>
    <mergeCell ref="AK194:AK199"/>
    <mergeCell ref="I225:K225"/>
    <mergeCell ref="F194:F225"/>
    <mergeCell ref="AF194:AF199"/>
    <mergeCell ref="AG194:AG199"/>
    <mergeCell ref="AH194:AH199"/>
    <mergeCell ref="AI194:AI199"/>
    <mergeCell ref="S195:S198"/>
    <mergeCell ref="T195:T198"/>
    <mergeCell ref="U195:U198"/>
    <mergeCell ref="V195:V198"/>
    <mergeCell ref="W195:W198"/>
    <mergeCell ref="X195:X198"/>
    <mergeCell ref="Y195:Y198"/>
    <mergeCell ref="H194:H199"/>
    <mergeCell ref="I194:I199"/>
    <mergeCell ref="J194:J199"/>
    <mergeCell ref="K194:K199"/>
    <mergeCell ref="L194:L199"/>
    <mergeCell ref="M194:M199"/>
    <mergeCell ref="N195:N198"/>
    <mergeCell ref="O195:O198"/>
    <mergeCell ref="G194:G199"/>
    <mergeCell ref="P195:P198"/>
    <mergeCell ref="Q195:Q198"/>
    <mergeCell ref="R195:R198"/>
    <mergeCell ref="AF200:AF204"/>
    <mergeCell ref="AG200:AG204"/>
    <mergeCell ref="AH200:AH204"/>
    <mergeCell ref="AI200:AI204"/>
    <mergeCell ref="AJ200:AJ204"/>
    <mergeCell ref="AJ156:AJ161"/>
    <mergeCell ref="AK156:AK161"/>
    <mergeCell ref="I193:K193"/>
    <mergeCell ref="F156:F193"/>
    <mergeCell ref="AF156:AF161"/>
    <mergeCell ref="AG156:AG161"/>
    <mergeCell ref="AH156:AH161"/>
    <mergeCell ref="AI156:AI161"/>
    <mergeCell ref="S157:S160"/>
    <mergeCell ref="T157:T160"/>
    <mergeCell ref="U157:U160"/>
    <mergeCell ref="V157:V160"/>
    <mergeCell ref="W157:W160"/>
    <mergeCell ref="X157:X160"/>
    <mergeCell ref="Y157:Y160"/>
    <mergeCell ref="H156:H161"/>
    <mergeCell ref="I156:I161"/>
    <mergeCell ref="J156:J161"/>
    <mergeCell ref="K156:K161"/>
    <mergeCell ref="L156:L161"/>
    <mergeCell ref="M156:M161"/>
    <mergeCell ref="N157:N160"/>
    <mergeCell ref="O157:O160"/>
    <mergeCell ref="G156:G161"/>
    <mergeCell ref="P157:P160"/>
    <mergeCell ref="Q157:Q160"/>
    <mergeCell ref="R157:R160"/>
    <mergeCell ref="AF162:AF166"/>
    <mergeCell ref="AG162:AG166"/>
    <mergeCell ref="AH162:AH166"/>
    <mergeCell ref="AI162:AI166"/>
    <mergeCell ref="AJ162:AJ166"/>
    <mergeCell ref="AJ87:AJ92"/>
    <mergeCell ref="AK87:AK92"/>
    <mergeCell ref="I155:K155"/>
    <mergeCell ref="F87:F155"/>
    <mergeCell ref="AF87:AF92"/>
    <mergeCell ref="AG87:AG92"/>
    <mergeCell ref="AH87:AH92"/>
    <mergeCell ref="AI87:AI92"/>
    <mergeCell ref="S88:S91"/>
    <mergeCell ref="T88:T91"/>
    <mergeCell ref="U88:U91"/>
    <mergeCell ref="V88:V91"/>
    <mergeCell ref="W88:W91"/>
    <mergeCell ref="X88:X91"/>
    <mergeCell ref="Y88:Y91"/>
    <mergeCell ref="H87:H92"/>
    <mergeCell ref="I87:I92"/>
    <mergeCell ref="J87:J92"/>
    <mergeCell ref="K87:K92"/>
    <mergeCell ref="L87:L92"/>
    <mergeCell ref="M87:M92"/>
    <mergeCell ref="N88:N91"/>
    <mergeCell ref="O88:O91"/>
    <mergeCell ref="G87:G92"/>
    <mergeCell ref="P88:P91"/>
    <mergeCell ref="Q88:Q91"/>
    <mergeCell ref="R88:R91"/>
    <mergeCell ref="AF93:AF97"/>
    <mergeCell ref="AG93:AG97"/>
    <mergeCell ref="AH93:AH97"/>
    <mergeCell ref="AI93:AI97"/>
    <mergeCell ref="AJ93:AJ97"/>
    <mergeCell ref="G15:G19"/>
    <mergeCell ref="P16:P18"/>
    <mergeCell ref="Q16:Q18"/>
    <mergeCell ref="R16:R18"/>
    <mergeCell ref="AJ56:AJ60"/>
    <mergeCell ref="AK56:AK60"/>
    <mergeCell ref="I86:K86"/>
    <mergeCell ref="F56:F86"/>
    <mergeCell ref="AF56:AF60"/>
    <mergeCell ref="AG56:AG60"/>
    <mergeCell ref="AH56:AH60"/>
    <mergeCell ref="AI56:AI60"/>
    <mergeCell ref="S57:S59"/>
    <mergeCell ref="T57:T59"/>
    <mergeCell ref="U57:U59"/>
    <mergeCell ref="V57:V59"/>
    <mergeCell ref="W57:W59"/>
    <mergeCell ref="X57:X59"/>
    <mergeCell ref="Y57:Y59"/>
    <mergeCell ref="H56:H60"/>
    <mergeCell ref="I56:I60"/>
    <mergeCell ref="J56:J60"/>
    <mergeCell ref="K56:K60"/>
    <mergeCell ref="L56:L60"/>
    <mergeCell ref="M56:M60"/>
    <mergeCell ref="N57:N59"/>
    <mergeCell ref="O57:O59"/>
    <mergeCell ref="G56:G60"/>
    <mergeCell ref="P57:P59"/>
    <mergeCell ref="Q57:Q59"/>
    <mergeCell ref="R57:R59"/>
    <mergeCell ref="AF20:AF24"/>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I9:J11"/>
    <mergeCell ref="K10:K12"/>
    <mergeCell ref="F230:J230"/>
    <mergeCell ref="F229:J229"/>
    <mergeCell ref="F5:K5"/>
    <mergeCell ref="F231:J231"/>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 ref="AJ15:AJ19"/>
    <mergeCell ref="AK15:AK19"/>
    <mergeCell ref="I55:K55"/>
    <mergeCell ref="F15:F55"/>
  </mergeCells>
  <dataValidations count="4">
    <dataValidation type="whole" allowBlank="1" showErrorMessage="1" errorTitle="Ошибка" error="Допускается ввод только неотрицательных целых чисел!" sqref="AF15:AF54 AI15:AI54 AF56:AF85 AI56:AI85 AF87:AF154 AI87:AI154 AF156:AF192 AI156:AI192 AI194:AI224 AF194:AF224" xr:uid="{00000000-0002-0000-2700-000000000000}">
      <formula1>0</formula1>
      <formula2>9.99999999999999E+23</formula2>
    </dataValidation>
    <dataValidation type="decimal" allowBlank="1" showErrorMessage="1" errorTitle="Ошибка" error="Допускается ввод только неотрицательных чисел!" sqref="AC17 AE17 AC58 AE58 AE196:AE197 AC22 AE22 AC27 AE27 AC32 AE32 AC37 AE37 AC42 AE42 AC47 AE47 AC52 AE52 AC63 AE63 AC68 AE68 AC73 AE73 AC78 AE78 AC83 AE83 AC95 AE95 AC100 AE100 AC105 AE105 AC110 AE110 AC115 AE115 AC120 AE120 AC137 AE137 AC142 AE142 AC147 AE147 AC152 AE152 AC89:AC90 AE89:AE90 AC125:AC126 AE125:AE126 AC131:AC132 AE131:AE132 AC164 AE164 AC169 AE169 AC174 AE174 AC179 AE179 AC190 AE190 AC158:AC159 AE158:AE159 AC184:AC185 AE184:AE185 AC202 AE202 AC207 AE207 AC212 AE212 AC217 AE217 AC222 AE222 AC196:AC197" xr:uid="{00000000-0002-0000-27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M15 K15:K18 M56 K56:K59 M87 M156 M194 K194:K198 M20 K20:K23 M25 K25:K28 M30 K30:K33 M35 K35:K38 M40 K40:K43 M45 K45:K48 M50 K50:K53 M61 K61:K64 M66 K66:K69 M71 K71:K74 M76 K76:K79 M81 K81:K84 M93 K93:K96 M98 K98:K101 M103 K103:K106 M108 K108:K111 M113 K113:K116 M118 K118:K121 M123 M129 M135 K135:K138 M140 K140:K143 M145 K145:K148 M150 K150:K153 K87:K91 K123:K127 K129:K133 M162 K162:K165 M167 K167:K170 M172 K172:K175 M177 K177:K180 M182 M188 K188:K191 K156:K160 K182:K186 M200 K200:K203 M205 K205:K208 M210 K210:K213 M215 K215:K218 M220 K220:K223" xr:uid="{00000000-0002-0000-2700-000004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J18 I56:J59 I87:J91 I156:J160 I194:J198 I20:J23 I25:J28 I30:J33 I35:J38 I40:J43 I45:J48 I50:J53 I61:J64 I66:J69 I71:J74 I76:J79 I81:J84 I93:J96 I98:J101 I103:J106 I108:J111 I113:J116 I118:J121 I123:J127 I129:J133 I135:J138 I140:J143 I145:J148 I150:J153 I162:J165 I167:J170 I172:J175 I177:J180 I182:J186 I188:J191 I200:J203 I205:J208 I210:J213 I215:J218 I220:J223" xr:uid="{00000000-0002-0000-2700-000005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16D2D-1B22-F58D-6B5F-AE2AD21BC008}">
  <sheetPr>
    <tabColor theme="9" tint="-0.249977111117893"/>
  </sheetPr>
  <dimension ref="A1:AC58"/>
  <sheetViews>
    <sheetView showGridLines="0" topLeftCell="E4" zoomScale="85" workbookViewId="0">
      <selection activeCell="P1" sqref="P1:P58"/>
    </sheetView>
  </sheetViews>
  <sheetFormatPr defaultColWidth="9.140625" defaultRowHeight="10.5" customHeight="1"/>
  <cols>
    <col min="1" max="3" width="4.140625" style="301" hidden="1" customWidth="1"/>
    <col min="4" max="4" width="4.140625" style="63" hidden="1" customWidth="1"/>
    <col min="5" max="5" width="3.7109375" style="12" customWidth="1"/>
    <col min="6" max="6" width="6.28515625" style="12" customWidth="1"/>
    <col min="7" max="7" width="60.140625" style="12" customWidth="1"/>
    <col min="8" max="9" width="21.7109375" style="12" hidden="1" customWidth="1"/>
    <col min="10" max="10" width="0.140625" style="12" customWidth="1"/>
    <col min="11" max="16" width="21.7109375" style="12" hidden="1" customWidth="1"/>
    <col min="17" max="17" width="0.140625" style="12" customWidth="1"/>
    <col min="18" max="18" width="1.7109375" style="12" customWidth="1"/>
    <col min="19" max="29" width="9.140625" style="12"/>
  </cols>
  <sheetData>
    <row r="1" spans="1:29" s="63" customFormat="1" ht="10.5" hidden="1" customHeight="1">
      <c r="A1" s="301"/>
      <c r="B1" s="301"/>
      <c r="C1" s="301"/>
    </row>
    <row r="2" spans="1:29" ht="10.5" hidden="1" customHeight="1"/>
    <row r="3" spans="1:29" s="9" customFormat="1" ht="10.5" hidden="1" customHeight="1">
      <c r="A3" s="301"/>
      <c r="B3" s="301"/>
      <c r="C3" s="301"/>
      <c r="D3" s="63"/>
    </row>
    <row r="4" spans="1:29" ht="3" customHeight="1"/>
    <row r="5" spans="1:29" ht="25.5" customHeight="1">
      <c r="F5" s="1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249"/>
      <c r="H5" s="1249"/>
      <c r="I5" s="1249"/>
      <c r="J5" s="1249"/>
      <c r="K5" s="1082"/>
      <c r="L5" s="1082"/>
      <c r="M5" s="1082"/>
      <c r="N5" s="1082"/>
      <c r="O5" s="1082"/>
      <c r="P5" s="1082"/>
      <c r="Q5" s="1082"/>
    </row>
    <row r="6" spans="1:29" ht="10.5" customHeight="1">
      <c r="F6" s="1194" t="str">
        <f>IF(org=0,"Не определено",org)</f>
        <v>АО "ХТК"</v>
      </c>
      <c r="G6" s="1194"/>
      <c r="H6" s="1194"/>
      <c r="I6" s="1194"/>
      <c r="J6" s="1194"/>
      <c r="K6" s="1081"/>
      <c r="L6" s="1081"/>
      <c r="M6" s="1081"/>
      <c r="N6" s="1081"/>
      <c r="O6" s="1081"/>
      <c r="P6" s="1081"/>
      <c r="Q6" s="1081"/>
    </row>
    <row r="7" spans="1:29" ht="11.25" customHeight="1">
      <c r="E7" s="11"/>
      <c r="F7" s="699"/>
      <c r="G7" s="699"/>
      <c r="H7" s="699"/>
      <c r="I7" s="699"/>
      <c r="J7" s="699"/>
      <c r="K7" s="699" t="s">
        <v>18</v>
      </c>
      <c r="L7" s="699"/>
      <c r="M7" s="699" t="s">
        <v>18</v>
      </c>
      <c r="N7" s="699" t="s">
        <v>18</v>
      </c>
      <c r="O7" s="699" t="s">
        <v>18</v>
      </c>
      <c r="P7" s="699" t="s">
        <v>18</v>
      </c>
      <c r="Q7" s="699"/>
      <c r="R7" s="35"/>
      <c r="S7" s="35"/>
      <c r="T7" s="35"/>
      <c r="U7" s="35"/>
      <c r="V7" s="35"/>
      <c r="W7" s="35"/>
      <c r="X7" s="35"/>
      <c r="Y7" s="35"/>
      <c r="Z7" s="35"/>
      <c r="AA7" s="35"/>
      <c r="AB7" s="35"/>
      <c r="AC7" s="35"/>
    </row>
    <row r="8" spans="1:29" s="68" customFormat="1" ht="5.25" customHeight="1">
      <c r="A8" s="311"/>
      <c r="B8" s="311"/>
      <c r="C8" s="311"/>
      <c r="E8" s="102"/>
      <c r="F8" s="700"/>
      <c r="G8" s="700"/>
      <c r="H8" s="700"/>
      <c r="I8" s="700"/>
      <c r="J8" s="700"/>
      <c r="K8" s="700" t="s">
        <v>916</v>
      </c>
      <c r="L8" s="700"/>
      <c r="M8" s="700"/>
      <c r="N8" s="700"/>
      <c r="O8" s="700"/>
      <c r="P8" s="700"/>
      <c r="Q8" s="700"/>
      <c r="R8" s="102"/>
      <c r="S8" s="102"/>
      <c r="T8" s="102"/>
      <c r="U8" s="102"/>
      <c r="V8" s="102"/>
      <c r="W8" s="102"/>
      <c r="X8" s="102"/>
      <c r="Y8" s="102"/>
      <c r="Z8" s="102"/>
      <c r="AA8" s="102"/>
      <c r="AB8" s="102"/>
      <c r="AC8" s="102"/>
    </row>
    <row r="9" spans="1:29" ht="10.5" customHeight="1">
      <c r="E9" s="11"/>
      <c r="F9" s="1425" t="s">
        <v>299</v>
      </c>
      <c r="G9" s="1426"/>
      <c r="H9" s="1426"/>
      <c r="I9" s="1426"/>
      <c r="J9" s="1426"/>
      <c r="K9" s="1083"/>
      <c r="L9" s="1083"/>
      <c r="M9" s="1083"/>
      <c r="N9" s="1083"/>
      <c r="O9" s="1083"/>
      <c r="P9" s="1083"/>
      <c r="Q9" s="1083"/>
      <c r="R9" s="707"/>
      <c r="S9" s="35"/>
      <c r="T9" s="35"/>
      <c r="U9" s="35"/>
      <c r="V9" s="35"/>
      <c r="W9" s="35"/>
      <c r="X9" s="35"/>
      <c r="Y9" s="35"/>
      <c r="Z9" s="35"/>
      <c r="AA9" s="35"/>
      <c r="AB9" s="35"/>
      <c r="AC9" s="35"/>
    </row>
    <row r="10" spans="1:29" ht="24" customHeight="1">
      <c r="E10" s="35"/>
      <c r="F10" s="1429" t="s">
        <v>84</v>
      </c>
      <c r="G10" s="1433" t="s">
        <v>989</v>
      </c>
      <c r="H10" s="1375" t="s">
        <v>990</v>
      </c>
      <c r="I10" s="1375"/>
      <c r="J10" s="1375"/>
      <c r="K10" s="1375" t="s">
        <v>990</v>
      </c>
      <c r="L10" s="1375"/>
      <c r="M10" s="1375"/>
      <c r="N10" s="1375"/>
      <c r="O10" s="1375"/>
      <c r="P10" s="1375"/>
      <c r="Q10" s="1375"/>
      <c r="R10" s="702"/>
      <c r="S10" s="35"/>
      <c r="T10" s="35"/>
      <c r="U10" s="35"/>
      <c r="V10" s="35"/>
      <c r="W10" s="35"/>
      <c r="X10" s="35"/>
      <c r="Y10" s="35"/>
      <c r="Z10" s="35"/>
      <c r="AA10" s="35"/>
      <c r="AB10" s="35"/>
      <c r="AC10" s="35"/>
    </row>
    <row r="11" spans="1:29" ht="24" customHeight="1">
      <c r="E11" s="35"/>
      <c r="F11" s="1430"/>
      <c r="G11" s="1433"/>
      <c r="H11" s="1432" t="e">
        <f>INDEX(IP_MAIN_LIST_NAME_IP,MATCH(H8,IP_MAIN_LIST_IP_ID,0))&amp;" ("&amp;INDEX(IP_MAIN_START_DATE,MATCH(H8,IP_MAIN_LIST_IP_ID,0))&amp;"-"&amp;INDEX(IP_MAIN_END_DATE,MATCH(H8,IP_MAIN_LIST_IP_ID,0))&amp;")"</f>
        <v>#N/A</v>
      </c>
      <c r="I11" s="1432"/>
      <c r="J11" s="1432"/>
      <c r="K11" s="1432" t="str">
        <f>INDEX(IP_MAIN_LIST_NAME_IP,MATCH(K8,IP_MAIN_LIST_IP_ID,0))&amp;" ("&amp;INDEX(IP_MAIN_START_DATE,MATCH(K8,IP_MAIN_LIST_IP_ID,0))&amp;"-"&amp;INDEX(IP_MAIN_END_DATE,MATCH(K8,IP_MAIN_LIST_IP_ID,0))&amp;")"</f>
        <v>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 (10.01.2022-31.12.2026)</v>
      </c>
      <c r="L11" s="1432"/>
      <c r="M11" s="1432"/>
      <c r="N11" s="1432"/>
      <c r="O11" s="1432"/>
      <c r="P11" s="1432"/>
      <c r="Q11" s="1432"/>
      <c r="R11" s="702"/>
      <c r="S11" s="35"/>
      <c r="T11" s="35"/>
      <c r="U11" s="35"/>
      <c r="V11" s="35"/>
      <c r="W11" s="35"/>
      <c r="X11" s="35"/>
      <c r="Y11" s="35"/>
      <c r="Z11" s="35"/>
      <c r="AA11" s="35"/>
      <c r="AB11" s="35"/>
      <c r="AC11" s="35"/>
    </row>
    <row r="12" spans="1:29" ht="10.5" customHeight="1">
      <c r="F12" s="1431"/>
      <c r="G12" s="1433"/>
      <c r="H12" s="146" t="s">
        <v>991</v>
      </c>
      <c r="I12" s="701"/>
      <c r="J12" s="146"/>
      <c r="K12" s="146" t="s">
        <v>991</v>
      </c>
      <c r="L12" s="701">
        <v>2022</v>
      </c>
      <c r="M12" s="701">
        <v>2023</v>
      </c>
      <c r="N12" s="701">
        <v>2024</v>
      </c>
      <c r="O12" s="701">
        <v>2025</v>
      </c>
      <c r="P12" s="701">
        <v>2026</v>
      </c>
      <c r="Q12" s="146"/>
      <c r="R12" s="703"/>
    </row>
    <row r="13" spans="1:29" ht="10.5" hidden="1" customHeight="1">
      <c r="F13" s="146">
        <v>1</v>
      </c>
      <c r="G13" s="146">
        <v>2</v>
      </c>
      <c r="H13" s="146">
        <v>3</v>
      </c>
      <c r="I13" s="146">
        <v>4</v>
      </c>
      <c r="J13" s="146">
        <v>5</v>
      </c>
      <c r="K13" s="146">
        <v>3</v>
      </c>
      <c r="L13" s="146">
        <v>4</v>
      </c>
      <c r="M13" s="146">
        <v>4</v>
      </c>
      <c r="N13" s="146">
        <v>4</v>
      </c>
      <c r="O13" s="146">
        <v>4</v>
      </c>
      <c r="P13" s="146">
        <v>4</v>
      </c>
      <c r="Q13" s="146">
        <v>5</v>
      </c>
      <c r="R13" s="703"/>
    </row>
    <row r="14" spans="1:29" ht="11.25" customHeight="1">
      <c r="F14" s="240" t="s">
        <v>992</v>
      </c>
      <c r="G14" s="1427" t="s">
        <v>993</v>
      </c>
      <c r="H14" s="1427"/>
      <c r="I14" s="1427"/>
      <c r="J14" s="1427"/>
      <c r="K14" s="388"/>
      <c r="L14" s="388"/>
      <c r="M14" s="388"/>
      <c r="N14" s="388"/>
      <c r="O14" s="388"/>
      <c r="P14" s="388"/>
      <c r="Q14" s="388"/>
      <c r="R14" s="703"/>
    </row>
    <row r="15" spans="1:29" ht="11.25" customHeight="1">
      <c r="F15" s="146">
        <v>1</v>
      </c>
      <c r="G15" s="385" t="s">
        <v>994</v>
      </c>
      <c r="H15" s="355">
        <f t="shared" ref="H15:H36" si="0">SUM(I15:J15)</f>
        <v>0</v>
      </c>
      <c r="I15" s="355">
        <f>SUM(I16:I27)</f>
        <v>0</v>
      </c>
      <c r="J15" s="240"/>
      <c r="K15" s="355">
        <f t="shared" ref="K15:K36" si="1">SUM(L15:Q15)</f>
        <v>0</v>
      </c>
      <c r="L15" s="355">
        <f>SUM(L16:L27)</f>
        <v>0</v>
      </c>
      <c r="M15" s="355">
        <f>SUM(M16:M27)</f>
        <v>0</v>
      </c>
      <c r="N15" s="355">
        <f>SUM(N16:N27)</f>
        <v>0</v>
      </c>
      <c r="O15" s="355">
        <f>SUM(O16:O27)</f>
        <v>0</v>
      </c>
      <c r="P15" s="355">
        <f>SUM(P16:P27)</f>
        <v>0</v>
      </c>
      <c r="Q15" s="240"/>
      <c r="R15" s="703"/>
    </row>
    <row r="16" spans="1:29" ht="22.5" customHeight="1">
      <c r="F16" s="146" t="s">
        <v>995</v>
      </c>
      <c r="G16" s="705" t="s">
        <v>996</v>
      </c>
      <c r="H16" s="355">
        <f t="shared" si="0"/>
        <v>0</v>
      </c>
      <c r="I16" s="704"/>
      <c r="J16" s="240"/>
      <c r="K16" s="355">
        <f t="shared" si="1"/>
        <v>0</v>
      </c>
      <c r="L16" s="704"/>
      <c r="M16" s="704"/>
      <c r="N16" s="704"/>
      <c r="O16" s="704"/>
      <c r="P16" s="704"/>
      <c r="Q16" s="240"/>
      <c r="R16" s="703"/>
    </row>
    <row r="17" spans="6:18" ht="22.5" customHeight="1">
      <c r="F17" s="146" t="s">
        <v>997</v>
      </c>
      <c r="G17" s="705" t="s">
        <v>998</v>
      </c>
      <c r="H17" s="355">
        <f t="shared" si="0"/>
        <v>0</v>
      </c>
      <c r="I17" s="704"/>
      <c r="J17" s="240"/>
      <c r="K17" s="355">
        <f t="shared" si="1"/>
        <v>0</v>
      </c>
      <c r="L17" s="704"/>
      <c r="M17" s="704"/>
      <c r="N17" s="704"/>
      <c r="O17" s="704"/>
      <c r="P17" s="704"/>
      <c r="Q17" s="240"/>
      <c r="R17" s="703"/>
    </row>
    <row r="18" spans="6:18" ht="33.75" customHeight="1">
      <c r="F18" s="146" t="s">
        <v>999</v>
      </c>
      <c r="G18" s="705" t="s">
        <v>1000</v>
      </c>
      <c r="H18" s="355">
        <f t="shared" si="0"/>
        <v>0</v>
      </c>
      <c r="I18" s="704"/>
      <c r="J18" s="240"/>
      <c r="K18" s="355">
        <f t="shared" si="1"/>
        <v>0</v>
      </c>
      <c r="L18" s="704"/>
      <c r="M18" s="704"/>
      <c r="N18" s="704"/>
      <c r="O18" s="704"/>
      <c r="P18" s="704"/>
      <c r="Q18" s="240"/>
      <c r="R18" s="703"/>
    </row>
    <row r="19" spans="6:18" ht="33.75" customHeight="1">
      <c r="F19" s="146" t="s">
        <v>1001</v>
      </c>
      <c r="G19" s="705" t="s">
        <v>1002</v>
      </c>
      <c r="H19" s="355">
        <f t="shared" si="0"/>
        <v>0</v>
      </c>
      <c r="I19" s="704"/>
      <c r="J19" s="240"/>
      <c r="K19" s="355">
        <f t="shared" si="1"/>
        <v>0</v>
      </c>
      <c r="L19" s="704"/>
      <c r="M19" s="704"/>
      <c r="N19" s="704"/>
      <c r="O19" s="704"/>
      <c r="P19" s="704"/>
      <c r="Q19" s="240"/>
      <c r="R19" s="703"/>
    </row>
    <row r="20" spans="6:18" ht="45" customHeight="1">
      <c r="F20" s="146" t="s">
        <v>1003</v>
      </c>
      <c r="G20" s="705" t="s">
        <v>1004</v>
      </c>
      <c r="H20" s="355">
        <f t="shared" si="0"/>
        <v>0</v>
      </c>
      <c r="I20" s="704"/>
      <c r="J20" s="240"/>
      <c r="K20" s="355">
        <f t="shared" si="1"/>
        <v>0</v>
      </c>
      <c r="L20" s="704"/>
      <c r="M20" s="704"/>
      <c r="N20" s="704"/>
      <c r="O20" s="704"/>
      <c r="P20" s="704"/>
      <c r="Q20" s="240"/>
      <c r="R20" s="703"/>
    </row>
    <row r="21" spans="6:18" ht="33.75" customHeight="1">
      <c r="F21" s="146" t="s">
        <v>1005</v>
      </c>
      <c r="G21" s="705" t="s">
        <v>1006</v>
      </c>
      <c r="H21" s="355">
        <f t="shared" si="0"/>
        <v>0</v>
      </c>
      <c r="I21" s="704"/>
      <c r="J21" s="240"/>
      <c r="K21" s="355">
        <f t="shared" si="1"/>
        <v>0</v>
      </c>
      <c r="L21" s="704"/>
      <c r="M21" s="704"/>
      <c r="N21" s="704"/>
      <c r="O21" s="704"/>
      <c r="P21" s="704"/>
      <c r="Q21" s="240"/>
      <c r="R21" s="703"/>
    </row>
    <row r="22" spans="6:18" ht="33.75" customHeight="1">
      <c r="F22" s="146" t="s">
        <v>1007</v>
      </c>
      <c r="G22" s="705" t="s">
        <v>1008</v>
      </c>
      <c r="H22" s="355">
        <f t="shared" si="0"/>
        <v>0</v>
      </c>
      <c r="I22" s="704"/>
      <c r="J22" s="240"/>
      <c r="K22" s="355">
        <f t="shared" si="1"/>
        <v>0</v>
      </c>
      <c r="L22" s="704"/>
      <c r="M22" s="704"/>
      <c r="N22" s="704"/>
      <c r="O22" s="704"/>
      <c r="P22" s="704"/>
      <c r="Q22" s="240"/>
      <c r="R22" s="703"/>
    </row>
    <row r="23" spans="6:18" ht="22.5" customHeight="1">
      <c r="F23" s="146" t="s">
        <v>1009</v>
      </c>
      <c r="G23" s="705" t="s">
        <v>1010</v>
      </c>
      <c r="H23" s="355">
        <f t="shared" si="0"/>
        <v>0</v>
      </c>
      <c r="I23" s="704"/>
      <c r="J23" s="240"/>
      <c r="K23" s="355">
        <f t="shared" si="1"/>
        <v>0</v>
      </c>
      <c r="L23" s="704"/>
      <c r="M23" s="704"/>
      <c r="N23" s="704"/>
      <c r="O23" s="704"/>
      <c r="P23" s="704"/>
      <c r="Q23" s="240"/>
      <c r="R23" s="703"/>
    </row>
    <row r="24" spans="6:18" ht="22.5" customHeight="1">
      <c r="F24" s="146" t="s">
        <v>1011</v>
      </c>
      <c r="G24" s="705" t="s">
        <v>1012</v>
      </c>
      <c r="H24" s="355">
        <f t="shared" si="0"/>
        <v>0</v>
      </c>
      <c r="I24" s="704"/>
      <c r="J24" s="240"/>
      <c r="K24" s="355">
        <f t="shared" si="1"/>
        <v>0</v>
      </c>
      <c r="L24" s="704"/>
      <c r="M24" s="704"/>
      <c r="N24" s="704"/>
      <c r="O24" s="704"/>
      <c r="P24" s="704"/>
      <c r="Q24" s="240"/>
      <c r="R24" s="703"/>
    </row>
    <row r="25" spans="6:18" ht="33.75" customHeight="1">
      <c r="F25" s="146" t="s">
        <v>1013</v>
      </c>
      <c r="G25" s="705" t="s">
        <v>1014</v>
      </c>
      <c r="H25" s="355">
        <f t="shared" si="0"/>
        <v>0</v>
      </c>
      <c r="I25" s="704"/>
      <c r="J25" s="240"/>
      <c r="K25" s="355">
        <f t="shared" si="1"/>
        <v>0</v>
      </c>
      <c r="L25" s="704"/>
      <c r="M25" s="704"/>
      <c r="N25" s="704"/>
      <c r="O25" s="704"/>
      <c r="P25" s="704"/>
      <c r="Q25" s="240"/>
      <c r="R25" s="703"/>
    </row>
    <row r="26" spans="6:18" ht="33.75" customHeight="1">
      <c r="F26" s="146" t="s">
        <v>1015</v>
      </c>
      <c r="G26" s="705" t="s">
        <v>1016</v>
      </c>
      <c r="H26" s="355">
        <f t="shared" si="0"/>
        <v>0</v>
      </c>
      <c r="I26" s="704"/>
      <c r="J26" s="240"/>
      <c r="K26" s="355">
        <f t="shared" si="1"/>
        <v>0</v>
      </c>
      <c r="L26" s="704"/>
      <c r="M26" s="704"/>
      <c r="N26" s="704"/>
      <c r="O26" s="704"/>
      <c r="P26" s="704"/>
      <c r="Q26" s="240"/>
      <c r="R26" s="703"/>
    </row>
    <row r="27" spans="6:18" ht="11.25" customHeight="1">
      <c r="F27" s="146" t="s">
        <v>1017</v>
      </c>
      <c r="G27" s="705" t="s">
        <v>1018</v>
      </c>
      <c r="H27" s="355">
        <f t="shared" si="0"/>
        <v>0</v>
      </c>
      <c r="I27" s="704"/>
      <c r="J27" s="240"/>
      <c r="K27" s="355">
        <f t="shared" si="1"/>
        <v>0</v>
      </c>
      <c r="L27" s="704"/>
      <c r="M27" s="704"/>
      <c r="N27" s="704"/>
      <c r="O27" s="704"/>
      <c r="P27" s="704"/>
      <c r="Q27" s="240"/>
      <c r="R27" s="703"/>
    </row>
    <row r="28" spans="6:18" ht="11.25" customHeight="1">
      <c r="F28" s="146">
        <v>2</v>
      </c>
      <c r="G28" s="385" t="s">
        <v>1019</v>
      </c>
      <c r="H28" s="355">
        <f t="shared" si="0"/>
        <v>0</v>
      </c>
      <c r="I28" s="355">
        <f>SUM(I29:I31)</f>
        <v>0</v>
      </c>
      <c r="J28" s="240"/>
      <c r="K28" s="355">
        <f t="shared" si="1"/>
        <v>0</v>
      </c>
      <c r="L28" s="355">
        <f>SUM(L29:L31)</f>
        <v>0</v>
      </c>
      <c r="M28" s="355">
        <f>SUM(M29:M31)</f>
        <v>0</v>
      </c>
      <c r="N28" s="355">
        <f>SUM(N29:N31)</f>
        <v>0</v>
      </c>
      <c r="O28" s="355">
        <f>SUM(O29:O31)</f>
        <v>0</v>
      </c>
      <c r="P28" s="355">
        <f>SUM(P29:P31)</f>
        <v>0</v>
      </c>
      <c r="Q28" s="240"/>
      <c r="R28" s="703"/>
    </row>
    <row r="29" spans="6:18" ht="11.25" customHeight="1">
      <c r="F29" s="146" t="s">
        <v>623</v>
      </c>
      <c r="G29" s="705" t="s">
        <v>1020</v>
      </c>
      <c r="H29" s="355">
        <f t="shared" si="0"/>
        <v>0</v>
      </c>
      <c r="I29" s="704"/>
      <c r="J29" s="240"/>
      <c r="K29" s="355">
        <f t="shared" si="1"/>
        <v>0</v>
      </c>
      <c r="L29" s="704"/>
      <c r="M29" s="704"/>
      <c r="N29" s="704"/>
      <c r="O29" s="704"/>
      <c r="P29" s="704"/>
      <c r="Q29" s="240"/>
      <c r="R29" s="703"/>
    </row>
    <row r="30" spans="6:18" ht="11.25" customHeight="1">
      <c r="F30" s="146" t="s">
        <v>306</v>
      </c>
      <c r="G30" s="705" t="s">
        <v>1021</v>
      </c>
      <c r="H30" s="355">
        <f t="shared" si="0"/>
        <v>0</v>
      </c>
      <c r="I30" s="704"/>
      <c r="J30" s="240"/>
      <c r="K30" s="355">
        <f t="shared" si="1"/>
        <v>0</v>
      </c>
      <c r="L30" s="704"/>
      <c r="M30" s="704"/>
      <c r="N30" s="704"/>
      <c r="O30" s="704"/>
      <c r="P30" s="704"/>
      <c r="Q30" s="240"/>
      <c r="R30" s="703"/>
    </row>
    <row r="31" spans="6:18" ht="11.25" customHeight="1">
      <c r="F31" s="146" t="s">
        <v>309</v>
      </c>
      <c r="G31" s="705" t="s">
        <v>1022</v>
      </c>
      <c r="H31" s="355">
        <f t="shared" si="0"/>
        <v>0</v>
      </c>
      <c r="I31" s="704"/>
      <c r="J31" s="240"/>
      <c r="K31" s="355">
        <f t="shared" si="1"/>
        <v>0</v>
      </c>
      <c r="L31" s="704"/>
      <c r="M31" s="704"/>
      <c r="N31" s="704"/>
      <c r="O31" s="704"/>
      <c r="P31" s="704"/>
      <c r="Q31" s="240"/>
      <c r="R31" s="703"/>
    </row>
    <row r="32" spans="6:18" ht="11.25" customHeight="1">
      <c r="F32" s="146">
        <v>3</v>
      </c>
      <c r="G32" s="385" t="s">
        <v>1023</v>
      </c>
      <c r="H32" s="355">
        <f t="shared" si="0"/>
        <v>0</v>
      </c>
      <c r="I32" s="355">
        <f>SUM(I33:I34)</f>
        <v>0</v>
      </c>
      <c r="J32" s="240"/>
      <c r="K32" s="355">
        <f t="shared" si="1"/>
        <v>0</v>
      </c>
      <c r="L32" s="355">
        <f>SUM(L33:L34)</f>
        <v>0</v>
      </c>
      <c r="M32" s="355">
        <f>SUM(M33:M34)</f>
        <v>0</v>
      </c>
      <c r="N32" s="355">
        <f>SUM(N33:N34)</f>
        <v>0</v>
      </c>
      <c r="O32" s="355">
        <f>SUM(O33:O34)</f>
        <v>0</v>
      </c>
      <c r="P32" s="355">
        <f>SUM(P33:P34)</f>
        <v>0</v>
      </c>
      <c r="Q32" s="240"/>
      <c r="R32" s="703"/>
    </row>
    <row r="33" spans="6:18" ht="33.75" customHeight="1">
      <c r="F33" s="146" t="s">
        <v>323</v>
      </c>
      <c r="G33" s="705" t="s">
        <v>1024</v>
      </c>
      <c r="H33" s="355">
        <f t="shared" si="0"/>
        <v>0</v>
      </c>
      <c r="I33" s="704"/>
      <c r="J33" s="240"/>
      <c r="K33" s="355">
        <f t="shared" si="1"/>
        <v>0</v>
      </c>
      <c r="L33" s="704"/>
      <c r="M33" s="704"/>
      <c r="N33" s="704"/>
      <c r="O33" s="704"/>
      <c r="P33" s="704"/>
      <c r="Q33" s="240"/>
      <c r="R33" s="703"/>
    </row>
    <row r="34" spans="6:18" ht="11.25" customHeight="1">
      <c r="F34" s="146" t="s">
        <v>331</v>
      </c>
      <c r="G34" s="705" t="s">
        <v>1025</v>
      </c>
      <c r="H34" s="355">
        <f t="shared" si="0"/>
        <v>0</v>
      </c>
      <c r="I34" s="704"/>
      <c r="J34" s="240"/>
      <c r="K34" s="355">
        <f t="shared" si="1"/>
        <v>0</v>
      </c>
      <c r="L34" s="704"/>
      <c r="M34" s="704"/>
      <c r="N34" s="704"/>
      <c r="O34" s="704"/>
      <c r="P34" s="704"/>
      <c r="Q34" s="240"/>
      <c r="R34" s="703"/>
    </row>
    <row r="35" spans="6:18" ht="11.25" customHeight="1">
      <c r="F35" s="146">
        <v>4</v>
      </c>
      <c r="G35" s="385" t="s">
        <v>1026</v>
      </c>
      <c r="H35" s="355">
        <f t="shared" si="0"/>
        <v>0</v>
      </c>
      <c r="I35" s="704"/>
      <c r="J35" s="240"/>
      <c r="K35" s="355">
        <f t="shared" si="1"/>
        <v>0</v>
      </c>
      <c r="L35" s="704"/>
      <c r="M35" s="704"/>
      <c r="N35" s="704"/>
      <c r="O35" s="704"/>
      <c r="P35" s="704"/>
      <c r="Q35" s="240"/>
      <c r="R35" s="703"/>
    </row>
    <row r="36" spans="6:18" ht="11.25" customHeight="1">
      <c r="F36" s="146"/>
      <c r="G36" s="388" t="s">
        <v>1027</v>
      </c>
      <c r="H36" s="355">
        <f t="shared" si="0"/>
        <v>0</v>
      </c>
      <c r="I36" s="355">
        <f>SUM(I15,I28,I32,I35)</f>
        <v>0</v>
      </c>
      <c r="J36" s="240"/>
      <c r="K36" s="355">
        <f t="shared" si="1"/>
        <v>0</v>
      </c>
      <c r="L36" s="355">
        <f>SUM(L15,L28,L32,L35)</f>
        <v>0</v>
      </c>
      <c r="M36" s="355">
        <f>SUM(M15,M28,M32,M35)</f>
        <v>0</v>
      </c>
      <c r="N36" s="355">
        <f>SUM(N15,N28,N32,N35)</f>
        <v>0</v>
      </c>
      <c r="O36" s="355">
        <f>SUM(O15,O28,O32,O35)</f>
        <v>0</v>
      </c>
      <c r="P36" s="355">
        <f>SUM(P15,P28,P32,P35)</f>
        <v>0</v>
      </c>
      <c r="Q36" s="240"/>
      <c r="R36" s="703"/>
    </row>
    <row r="37" spans="6:18" ht="27.75" customHeight="1">
      <c r="F37" s="240" t="s">
        <v>1028</v>
      </c>
      <c r="G37" s="1428" t="s">
        <v>1029</v>
      </c>
      <c r="H37" s="1428"/>
      <c r="I37" s="1428"/>
      <c r="J37" s="1428"/>
      <c r="K37" s="501"/>
      <c r="L37" s="501"/>
      <c r="M37" s="501"/>
      <c r="N37" s="501"/>
      <c r="O37" s="501"/>
      <c r="P37" s="501"/>
      <c r="Q37" s="501"/>
      <c r="R37" s="703"/>
    </row>
    <row r="38" spans="6:18" ht="22.5" customHeight="1">
      <c r="F38" s="146" t="s">
        <v>105</v>
      </c>
      <c r="G38" s="385" t="s">
        <v>1030</v>
      </c>
      <c r="H38" s="355">
        <f t="shared" ref="H38:H58" si="2">SUM(I38:J38)</f>
        <v>0</v>
      </c>
      <c r="I38" s="355">
        <f>SUM(I39,I44,I47)</f>
        <v>0</v>
      </c>
      <c r="J38" s="240"/>
      <c r="K38" s="355">
        <f t="shared" ref="K38:K58" si="3">SUM(L38:Q38)</f>
        <v>0</v>
      </c>
      <c r="L38" s="355">
        <f>SUM(L39,L44,L47)</f>
        <v>0</v>
      </c>
      <c r="M38" s="355">
        <f>SUM(M39,M44,M47)</f>
        <v>0</v>
      </c>
      <c r="N38" s="355">
        <f>SUM(N39,N44,N47)</f>
        <v>0</v>
      </c>
      <c r="O38" s="355">
        <f>SUM(O39,O44,O47)</f>
        <v>0</v>
      </c>
      <c r="P38" s="355">
        <f>SUM(P39,P44,P47)</f>
        <v>0</v>
      </c>
      <c r="Q38" s="240"/>
      <c r="R38" s="703"/>
    </row>
    <row r="39" spans="6:18" ht="11.25" customHeight="1">
      <c r="F39" s="146" t="s">
        <v>995</v>
      </c>
      <c r="G39" s="705" t="s">
        <v>994</v>
      </c>
      <c r="H39" s="355">
        <f t="shared" si="2"/>
        <v>0</v>
      </c>
      <c r="I39" s="355">
        <f>SUM(I40:I43)</f>
        <v>0</v>
      </c>
      <c r="J39" s="240"/>
      <c r="K39" s="355">
        <f t="shared" si="3"/>
        <v>0</v>
      </c>
      <c r="L39" s="355">
        <f>SUM(L40:L43)</f>
        <v>0</v>
      </c>
      <c r="M39" s="355">
        <f>SUM(M40:M43)</f>
        <v>0</v>
      </c>
      <c r="N39" s="355">
        <f>SUM(N40:N43)</f>
        <v>0</v>
      </c>
      <c r="O39" s="355">
        <f>SUM(O40:O43)</f>
        <v>0</v>
      </c>
      <c r="P39" s="355">
        <f>SUM(P40:P43)</f>
        <v>0</v>
      </c>
      <c r="Q39" s="240"/>
      <c r="R39" s="703"/>
    </row>
    <row r="40" spans="6:18" ht="22.5" customHeight="1">
      <c r="F40" s="146" t="s">
        <v>1031</v>
      </c>
      <c r="G40" s="706" t="s">
        <v>1032</v>
      </c>
      <c r="H40" s="355">
        <f t="shared" si="2"/>
        <v>0</v>
      </c>
      <c r="I40" s="704"/>
      <c r="J40" s="240"/>
      <c r="K40" s="355">
        <f t="shared" si="3"/>
        <v>0</v>
      </c>
      <c r="L40" s="704"/>
      <c r="M40" s="704"/>
      <c r="N40" s="704"/>
      <c r="O40" s="704"/>
      <c r="P40" s="704"/>
      <c r="Q40" s="240"/>
      <c r="R40" s="703"/>
    </row>
    <row r="41" spans="6:18" ht="11.25" customHeight="1">
      <c r="F41" s="146" t="s">
        <v>1033</v>
      </c>
      <c r="G41" s="706" t="s">
        <v>1034</v>
      </c>
      <c r="H41" s="355">
        <f t="shared" si="2"/>
        <v>0</v>
      </c>
      <c r="I41" s="704"/>
      <c r="J41" s="240"/>
      <c r="K41" s="355">
        <f t="shared" si="3"/>
        <v>0</v>
      </c>
      <c r="L41" s="704"/>
      <c r="M41" s="704"/>
      <c r="N41" s="704"/>
      <c r="O41" s="704"/>
      <c r="P41" s="704"/>
      <c r="Q41" s="240"/>
      <c r="R41" s="703"/>
    </row>
    <row r="42" spans="6:18" ht="11.25" customHeight="1">
      <c r="F42" s="146" t="s">
        <v>1035</v>
      </c>
      <c r="G42" s="706" t="s">
        <v>1036</v>
      </c>
      <c r="H42" s="355">
        <f t="shared" si="2"/>
        <v>0</v>
      </c>
      <c r="I42" s="704"/>
      <c r="J42" s="240"/>
      <c r="K42" s="355">
        <f t="shared" si="3"/>
        <v>0</v>
      </c>
      <c r="L42" s="704"/>
      <c r="M42" s="704"/>
      <c r="N42" s="704"/>
      <c r="O42" s="704"/>
      <c r="P42" s="704"/>
      <c r="Q42" s="240"/>
      <c r="R42" s="703"/>
    </row>
    <row r="43" spans="6:18" ht="33.75" customHeight="1">
      <c r="F43" s="146" t="s">
        <v>1037</v>
      </c>
      <c r="G43" s="706" t="s">
        <v>1038</v>
      </c>
      <c r="H43" s="355">
        <f t="shared" si="2"/>
        <v>0</v>
      </c>
      <c r="I43" s="704"/>
      <c r="J43" s="240"/>
      <c r="K43" s="355">
        <f t="shared" si="3"/>
        <v>0</v>
      </c>
      <c r="L43" s="704"/>
      <c r="M43" s="704"/>
      <c r="N43" s="704"/>
      <c r="O43" s="704"/>
      <c r="P43" s="704"/>
      <c r="Q43" s="240"/>
      <c r="R43" s="703"/>
    </row>
    <row r="44" spans="6:18" ht="11.25" customHeight="1">
      <c r="F44" s="146" t="s">
        <v>997</v>
      </c>
      <c r="G44" s="705" t="s">
        <v>1023</v>
      </c>
      <c r="H44" s="355">
        <f t="shared" si="2"/>
        <v>0</v>
      </c>
      <c r="I44" s="355">
        <f>SUM(I45:I46)</f>
        <v>0</v>
      </c>
      <c r="J44" s="240"/>
      <c r="K44" s="355">
        <f t="shared" si="3"/>
        <v>0</v>
      </c>
      <c r="L44" s="355">
        <f>SUM(L45:L46)</f>
        <v>0</v>
      </c>
      <c r="M44" s="355">
        <f>SUM(M45:M46)</f>
        <v>0</v>
      </c>
      <c r="N44" s="355">
        <f>SUM(N45:N46)</f>
        <v>0</v>
      </c>
      <c r="O44" s="355">
        <f>SUM(O45:O46)</f>
        <v>0</v>
      </c>
      <c r="P44" s="355">
        <f>SUM(P45:P46)</f>
        <v>0</v>
      </c>
      <c r="Q44" s="240"/>
      <c r="R44" s="703"/>
    </row>
    <row r="45" spans="6:18" ht="45" customHeight="1">
      <c r="F45" s="146" t="s">
        <v>1039</v>
      </c>
      <c r="G45" s="706" t="s">
        <v>1024</v>
      </c>
      <c r="H45" s="355">
        <f t="shared" si="2"/>
        <v>0</v>
      </c>
      <c r="I45" s="704"/>
      <c r="J45" s="240"/>
      <c r="K45" s="355">
        <f t="shared" si="3"/>
        <v>0</v>
      </c>
      <c r="L45" s="704"/>
      <c r="M45" s="704"/>
      <c r="N45" s="704"/>
      <c r="O45" s="704"/>
      <c r="P45" s="704"/>
      <c r="Q45" s="240"/>
      <c r="R45" s="703"/>
    </row>
    <row r="46" spans="6:18" ht="11.25" customHeight="1">
      <c r="F46" s="146" t="s">
        <v>1040</v>
      </c>
      <c r="G46" s="706" t="s">
        <v>1025</v>
      </c>
      <c r="H46" s="355">
        <f t="shared" si="2"/>
        <v>0</v>
      </c>
      <c r="I46" s="704"/>
      <c r="J46" s="240"/>
      <c r="K46" s="355">
        <f t="shared" si="3"/>
        <v>0</v>
      </c>
      <c r="L46" s="704"/>
      <c r="M46" s="704"/>
      <c r="N46" s="704"/>
      <c r="O46" s="704"/>
      <c r="P46" s="704"/>
      <c r="Q46" s="240"/>
      <c r="R46" s="703"/>
    </row>
    <row r="47" spans="6:18" ht="11.25" customHeight="1">
      <c r="F47" s="146" t="s">
        <v>999</v>
      </c>
      <c r="G47" s="705" t="s">
        <v>1041</v>
      </c>
      <c r="H47" s="355">
        <f t="shared" si="2"/>
        <v>0</v>
      </c>
      <c r="I47" s="704"/>
      <c r="J47" s="240"/>
      <c r="K47" s="355">
        <f t="shared" si="3"/>
        <v>0</v>
      </c>
      <c r="L47" s="704"/>
      <c r="M47" s="704"/>
      <c r="N47" s="704"/>
      <c r="O47" s="704"/>
      <c r="P47" s="704"/>
      <c r="Q47" s="240"/>
      <c r="R47" s="703"/>
    </row>
    <row r="48" spans="6:18" ht="22.5" customHeight="1">
      <c r="F48" s="146" t="s">
        <v>106</v>
      </c>
      <c r="G48" s="385" t="s">
        <v>1042</v>
      </c>
      <c r="H48" s="355">
        <f t="shared" si="2"/>
        <v>0</v>
      </c>
      <c r="I48" s="355">
        <f>SUM(I49,I54,I57)</f>
        <v>0</v>
      </c>
      <c r="J48" s="240"/>
      <c r="K48" s="355">
        <f t="shared" si="3"/>
        <v>0</v>
      </c>
      <c r="L48" s="355">
        <f>SUM(L49,L54,L57)</f>
        <v>0</v>
      </c>
      <c r="M48" s="355">
        <f>SUM(M49,M54,M57)</f>
        <v>0</v>
      </c>
      <c r="N48" s="355">
        <f>SUM(N49,N54,N57)</f>
        <v>0</v>
      </c>
      <c r="O48" s="355">
        <f>SUM(O49,O54,O57)</f>
        <v>0</v>
      </c>
      <c r="P48" s="355">
        <f>SUM(P49,P54,P57)</f>
        <v>0</v>
      </c>
      <c r="Q48" s="240"/>
      <c r="R48" s="703"/>
    </row>
    <row r="49" spans="6:18" ht="11.25" customHeight="1">
      <c r="F49" s="146" t="s">
        <v>623</v>
      </c>
      <c r="G49" s="705" t="s">
        <v>994</v>
      </c>
      <c r="H49" s="355">
        <f t="shared" si="2"/>
        <v>0</v>
      </c>
      <c r="I49" s="355">
        <f>SUM(I50:I53)</f>
        <v>0</v>
      </c>
      <c r="J49" s="240"/>
      <c r="K49" s="355">
        <f t="shared" si="3"/>
        <v>0</v>
      </c>
      <c r="L49" s="355">
        <f>SUM(L50:L53)</f>
        <v>0</v>
      </c>
      <c r="M49" s="355">
        <f>SUM(M50:M53)</f>
        <v>0</v>
      </c>
      <c r="N49" s="355">
        <f>SUM(N50:N53)</f>
        <v>0</v>
      </c>
      <c r="O49" s="355">
        <f>SUM(O50:O53)</f>
        <v>0</v>
      </c>
      <c r="P49" s="355">
        <f>SUM(P50:P53)</f>
        <v>0</v>
      </c>
      <c r="Q49" s="240"/>
      <c r="R49" s="703"/>
    </row>
    <row r="50" spans="6:18" ht="22.5" customHeight="1">
      <c r="F50" s="146" t="s">
        <v>626</v>
      </c>
      <c r="G50" s="706" t="s">
        <v>1032</v>
      </c>
      <c r="H50" s="355">
        <f t="shared" si="2"/>
        <v>0</v>
      </c>
      <c r="I50" s="704"/>
      <c r="J50" s="240"/>
      <c r="K50" s="355">
        <f t="shared" si="3"/>
        <v>0</v>
      </c>
      <c r="L50" s="704"/>
      <c r="M50" s="704"/>
      <c r="N50" s="704"/>
      <c r="O50" s="704"/>
      <c r="P50" s="704"/>
      <c r="Q50" s="240"/>
      <c r="R50" s="703"/>
    </row>
    <row r="51" spans="6:18" ht="11.25" customHeight="1">
      <c r="F51" s="146" t="s">
        <v>629</v>
      </c>
      <c r="G51" s="706" t="s">
        <v>1034</v>
      </c>
      <c r="H51" s="355">
        <f t="shared" si="2"/>
        <v>0</v>
      </c>
      <c r="I51" s="704"/>
      <c r="J51" s="240"/>
      <c r="K51" s="355">
        <f t="shared" si="3"/>
        <v>0</v>
      </c>
      <c r="L51" s="704"/>
      <c r="M51" s="704"/>
      <c r="N51" s="704"/>
      <c r="O51" s="704"/>
      <c r="P51" s="704"/>
      <c r="Q51" s="240"/>
      <c r="R51" s="703"/>
    </row>
    <row r="52" spans="6:18" ht="11.25" customHeight="1">
      <c r="F52" s="146" t="s">
        <v>1043</v>
      </c>
      <c r="G52" s="706" t="s">
        <v>1036</v>
      </c>
      <c r="H52" s="355">
        <f t="shared" si="2"/>
        <v>0</v>
      </c>
      <c r="I52" s="704"/>
      <c r="J52" s="240"/>
      <c r="K52" s="355">
        <f t="shared" si="3"/>
        <v>0</v>
      </c>
      <c r="L52" s="704"/>
      <c r="M52" s="704"/>
      <c r="N52" s="704"/>
      <c r="O52" s="704"/>
      <c r="P52" s="704"/>
      <c r="Q52" s="240"/>
      <c r="R52" s="703"/>
    </row>
    <row r="53" spans="6:18" ht="33.75" customHeight="1">
      <c r="F53" s="146" t="s">
        <v>1044</v>
      </c>
      <c r="G53" s="706" t="s">
        <v>1038</v>
      </c>
      <c r="H53" s="355">
        <f t="shared" si="2"/>
        <v>0</v>
      </c>
      <c r="I53" s="704"/>
      <c r="J53" s="240"/>
      <c r="K53" s="355">
        <f t="shared" si="3"/>
        <v>0</v>
      </c>
      <c r="L53" s="704"/>
      <c r="M53" s="704"/>
      <c r="N53" s="704"/>
      <c r="O53" s="704"/>
      <c r="P53" s="704"/>
      <c r="Q53" s="240"/>
      <c r="R53" s="703"/>
    </row>
    <row r="54" spans="6:18" ht="11.25" customHeight="1">
      <c r="F54" s="146" t="s">
        <v>306</v>
      </c>
      <c r="G54" s="705" t="s">
        <v>1023</v>
      </c>
      <c r="H54" s="355">
        <f t="shared" si="2"/>
        <v>0</v>
      </c>
      <c r="I54" s="355">
        <f>SUM(I55:I56)</f>
        <v>0</v>
      </c>
      <c r="J54" s="240"/>
      <c r="K54" s="355">
        <f t="shared" si="3"/>
        <v>0</v>
      </c>
      <c r="L54" s="355">
        <f>SUM(L55:L56)</f>
        <v>0</v>
      </c>
      <c r="M54" s="355">
        <f>SUM(M55:M56)</f>
        <v>0</v>
      </c>
      <c r="N54" s="355">
        <f>SUM(N55:N56)</f>
        <v>0</v>
      </c>
      <c r="O54" s="355">
        <f>SUM(O55:O56)</f>
        <v>0</v>
      </c>
      <c r="P54" s="355">
        <f>SUM(P55:P56)</f>
        <v>0</v>
      </c>
      <c r="Q54" s="240"/>
      <c r="R54" s="703"/>
    </row>
    <row r="55" spans="6:18" ht="45" customHeight="1">
      <c r="F55" s="146" t="s">
        <v>633</v>
      </c>
      <c r="G55" s="706" t="s">
        <v>1024</v>
      </c>
      <c r="H55" s="355">
        <f t="shared" si="2"/>
        <v>0</v>
      </c>
      <c r="I55" s="704"/>
      <c r="J55" s="240"/>
      <c r="K55" s="355">
        <f t="shared" si="3"/>
        <v>0</v>
      </c>
      <c r="L55" s="704"/>
      <c r="M55" s="704"/>
      <c r="N55" s="704"/>
      <c r="O55" s="704"/>
      <c r="P55" s="704"/>
      <c r="Q55" s="240"/>
      <c r="R55" s="703"/>
    </row>
    <row r="56" spans="6:18" ht="11.25" customHeight="1">
      <c r="F56" s="146" t="s">
        <v>635</v>
      </c>
      <c r="G56" s="706" t="s">
        <v>1025</v>
      </c>
      <c r="H56" s="355">
        <f t="shared" si="2"/>
        <v>0</v>
      </c>
      <c r="I56" s="704"/>
      <c r="J56" s="240"/>
      <c r="K56" s="355">
        <f t="shared" si="3"/>
        <v>0</v>
      </c>
      <c r="L56" s="704"/>
      <c r="M56" s="704"/>
      <c r="N56" s="704"/>
      <c r="O56" s="704"/>
      <c r="P56" s="704"/>
      <c r="Q56" s="240"/>
      <c r="R56" s="703"/>
    </row>
    <row r="57" spans="6:18" ht="11.25" customHeight="1">
      <c r="F57" s="146" t="s">
        <v>309</v>
      </c>
      <c r="G57" s="705" t="s">
        <v>1041</v>
      </c>
      <c r="H57" s="355">
        <f t="shared" si="2"/>
        <v>0</v>
      </c>
      <c r="I57" s="704"/>
      <c r="J57" s="240"/>
      <c r="K57" s="355">
        <f t="shared" si="3"/>
        <v>0</v>
      </c>
      <c r="L57" s="704"/>
      <c r="M57" s="704"/>
      <c r="N57" s="704"/>
      <c r="O57" s="704"/>
      <c r="P57" s="704"/>
      <c r="Q57" s="240"/>
      <c r="R57" s="703"/>
    </row>
    <row r="58" spans="6:18" ht="11.25" customHeight="1">
      <c r="F58" s="146"/>
      <c r="G58" s="501" t="s">
        <v>1027</v>
      </c>
      <c r="H58" s="355">
        <f t="shared" si="2"/>
        <v>0</v>
      </c>
      <c r="I58" s="355">
        <f>SUM(I38,I48)</f>
        <v>0</v>
      </c>
      <c r="J58" s="240"/>
      <c r="K58" s="355">
        <f t="shared" si="3"/>
        <v>0</v>
      </c>
      <c r="L58" s="355">
        <f>SUM(L38,L48)</f>
        <v>0</v>
      </c>
      <c r="M58" s="355">
        <f>SUM(M38,M48)</f>
        <v>0</v>
      </c>
      <c r="N58" s="355">
        <f>SUM(N38,N48)</f>
        <v>0</v>
      </c>
      <c r="O58" s="355">
        <f>SUM(O38,O48)</f>
        <v>0</v>
      </c>
      <c r="P58" s="355">
        <f>SUM(P38,P48)</f>
        <v>0</v>
      </c>
      <c r="Q58" s="240"/>
      <c r="R58" s="703"/>
    </row>
  </sheetData>
  <sheetProtection formatColumns="0" formatRows="0" insertRows="0" deleteColumns="0" deleteRows="0" sort="0" autoFilter="0"/>
  <mergeCells count="11">
    <mergeCell ref="K10:Q10"/>
    <mergeCell ref="K11:Q11"/>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xr:uid="{00000000-0002-0000-28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01CB8-C8CB-DEC2-0F63-5EC6D089F46E}">
  <sheetPr>
    <tabColor theme="9" tint="-0.249977111117893"/>
  </sheetPr>
  <dimension ref="A1:GB27"/>
  <sheetViews>
    <sheetView showGridLines="0" topLeftCell="E4" zoomScale="90" workbookViewId="0">
      <selection activeCell="O22" sqref="O22:AB22"/>
    </sheetView>
  </sheetViews>
  <sheetFormatPr defaultColWidth="9.140625" defaultRowHeight="12" customHeight="1"/>
  <cols>
    <col min="1" max="1" width="4.7109375" style="526" hidden="1" customWidth="1"/>
    <col min="2" max="2" width="4.7109375" style="527" hidden="1" customWidth="1"/>
    <col min="3" max="4" width="4.7109375" style="526" hidden="1" customWidth="1"/>
    <col min="5" max="5" width="3.5703125" style="526" customWidth="1"/>
    <col min="6" max="6" width="6.7109375" style="526" customWidth="1"/>
    <col min="7" max="7" width="18.7109375" style="526" customWidth="1"/>
    <col min="8" max="8" width="27.28515625" style="526" customWidth="1"/>
    <col min="9" max="9" width="18.7109375" style="526" customWidth="1"/>
    <col min="10" max="14" width="0.85546875" style="526" hidden="1" customWidth="1"/>
    <col min="15" max="28" width="21.7109375" style="526" customWidth="1"/>
    <col min="29" max="71" width="0.85546875" style="526" customWidth="1"/>
    <col min="72" max="79" width="21.7109375" style="526" hidden="1" customWidth="1"/>
    <col min="80" max="81" width="29.140625" style="526" hidden="1" customWidth="1"/>
    <col min="82" max="89" width="21.7109375" style="526" hidden="1" customWidth="1"/>
    <col min="90" max="102" width="0.7109375" style="526" hidden="1" customWidth="1"/>
    <col min="103" max="114" width="21.7109375" style="526" hidden="1" customWidth="1"/>
    <col min="115" max="178" width="0.7109375" style="526" hidden="1" customWidth="1"/>
    <col min="179" max="179" width="0.140625" style="526" customWidth="1"/>
    <col min="180" max="184" width="9.140625" style="526"/>
  </cols>
  <sheetData>
    <row r="1" spans="2:180" s="524" customFormat="1" ht="12" hidden="1" customHeight="1">
      <c r="B1" s="525"/>
    </row>
    <row r="2" spans="2:180" s="524" customFormat="1" ht="12" hidden="1" customHeight="1">
      <c r="B2" s="525"/>
    </row>
    <row r="3" spans="2:180" s="524" customFormat="1" ht="12" hidden="1" customHeight="1">
      <c r="B3" s="525"/>
    </row>
    <row r="4" spans="2:180" ht="10.5" customHeight="1">
      <c r="H4" s="58"/>
      <c r="I4" s="58"/>
      <c r="J4" s="58"/>
      <c r="K4" s="58"/>
      <c r="L4" s="58"/>
    </row>
    <row r="5" spans="2:180" s="302" customFormat="1" ht="25.5" customHeight="1">
      <c r="B5" s="1003"/>
      <c r="E5" s="1004"/>
      <c r="F5" s="1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187"/>
      <c r="H5" s="1187"/>
      <c r="I5" s="1187"/>
      <c r="J5" s="1187"/>
      <c r="K5" s="1187"/>
      <c r="L5" s="1187"/>
      <c r="M5" s="1187"/>
      <c r="N5" s="1187"/>
      <c r="O5" s="1187"/>
      <c r="P5" s="1187"/>
      <c r="Q5" s="1187"/>
      <c r="R5" s="1187"/>
      <c r="S5" s="1187"/>
      <c r="T5" s="1187"/>
      <c r="U5" s="1187"/>
      <c r="V5" s="1187"/>
      <c r="W5" s="1187"/>
      <c r="X5" s="1187"/>
      <c r="Y5" s="1187"/>
      <c r="Z5" s="1187"/>
      <c r="AA5" s="1187"/>
      <c r="AB5" s="1187"/>
      <c r="AC5" s="1187"/>
      <c r="AD5" s="1187"/>
      <c r="AE5" s="1187"/>
      <c r="AF5" s="1187"/>
      <c r="AG5" s="1187"/>
      <c r="AH5" s="1187"/>
      <c r="AI5" s="1187"/>
      <c r="AJ5" s="1187"/>
      <c r="AK5" s="1187"/>
      <c r="AL5" s="1187"/>
      <c r="AM5" s="1187"/>
      <c r="AN5" s="1187"/>
      <c r="AO5" s="1187"/>
      <c r="AP5" s="1187"/>
      <c r="AQ5" s="1187"/>
      <c r="AR5" s="1187"/>
      <c r="AS5" s="1187"/>
      <c r="AT5" s="1187"/>
      <c r="AU5" s="1187"/>
      <c r="AV5" s="1187"/>
      <c r="AW5" s="1187"/>
      <c r="AX5" s="1187"/>
      <c r="AY5" s="1187"/>
      <c r="AZ5" s="1187"/>
      <c r="BA5" s="1187"/>
      <c r="BB5" s="1187"/>
      <c r="BC5" s="1187"/>
      <c r="BD5" s="1187"/>
      <c r="BE5" s="1187"/>
      <c r="BF5" s="1187"/>
      <c r="BG5" s="1187"/>
      <c r="BH5" s="1187"/>
      <c r="BI5" s="1187"/>
      <c r="BJ5" s="1187"/>
      <c r="BK5" s="1187"/>
      <c r="BL5" s="1187"/>
      <c r="BM5" s="1187"/>
      <c r="BN5" s="1187"/>
      <c r="BO5" s="1187"/>
      <c r="BP5" s="1187"/>
      <c r="BQ5" s="1187"/>
      <c r="BR5" s="1187"/>
      <c r="BS5" s="1187"/>
    </row>
    <row r="6" spans="2:180" s="56" customFormat="1" ht="18" customHeight="1">
      <c r="B6" s="347"/>
      <c r="E6" s="486"/>
      <c r="F6" s="1229" t="str">
        <f>IF(org=0,"Не определено",org)</f>
        <v>АО "ХТК"</v>
      </c>
      <c r="G6" s="1230"/>
      <c r="H6" s="1230"/>
      <c r="I6" s="1230"/>
      <c r="J6" s="1230"/>
      <c r="K6" s="1230"/>
      <c r="L6" s="1230"/>
      <c r="M6" s="1230"/>
      <c r="N6" s="1230"/>
      <c r="O6" s="1230"/>
      <c r="P6" s="1230"/>
      <c r="Q6" s="1230"/>
      <c r="R6" s="1230"/>
      <c r="S6" s="1230"/>
      <c r="T6" s="1230"/>
      <c r="U6" s="1230"/>
      <c r="V6" s="1230"/>
      <c r="W6" s="1230"/>
      <c r="X6" s="1230"/>
      <c r="Y6" s="1230"/>
      <c r="Z6" s="1230"/>
      <c r="AA6" s="1230"/>
      <c r="AB6" s="1230"/>
      <c r="AC6" s="1230"/>
      <c r="AD6" s="1230"/>
      <c r="AE6" s="1230"/>
      <c r="AF6" s="1230"/>
      <c r="AG6" s="1230"/>
      <c r="AH6" s="1230"/>
      <c r="AI6" s="1230"/>
      <c r="AJ6" s="1230"/>
      <c r="AK6" s="1230"/>
      <c r="AL6" s="1230"/>
      <c r="AM6" s="1230"/>
      <c r="AN6" s="1230"/>
      <c r="AO6" s="1230"/>
      <c r="AP6" s="1230"/>
      <c r="AQ6" s="1230"/>
      <c r="AR6" s="1230"/>
      <c r="AS6" s="1230"/>
      <c r="AT6" s="1230"/>
      <c r="AU6" s="1230"/>
      <c r="AV6" s="1230"/>
      <c r="AW6" s="1230"/>
      <c r="AX6" s="1230"/>
      <c r="AY6" s="1230"/>
      <c r="AZ6" s="1230"/>
      <c r="BA6" s="1230"/>
      <c r="BB6" s="1230"/>
      <c r="BC6" s="1230"/>
      <c r="BD6" s="1230"/>
      <c r="BE6" s="1230"/>
      <c r="BF6" s="1230"/>
      <c r="BG6" s="1230"/>
      <c r="BH6" s="1230"/>
      <c r="BI6" s="1230"/>
      <c r="BJ6" s="1230"/>
      <c r="BK6" s="1230"/>
      <c r="BL6" s="1230"/>
      <c r="BM6" s="1230"/>
      <c r="BN6" s="1230"/>
      <c r="BO6" s="1230"/>
      <c r="BP6" s="1230"/>
      <c r="BQ6" s="1230"/>
      <c r="BR6" s="1230"/>
      <c r="BS6" s="1230"/>
    </row>
    <row r="7" spans="2:180" s="528" customFormat="1" ht="10.5" customHeight="1">
      <c r="B7" s="529"/>
      <c r="G7" s="530"/>
      <c r="H7" s="58"/>
      <c r="I7" s="58"/>
      <c r="J7" s="58"/>
      <c r="K7" s="58"/>
      <c r="L7" s="58"/>
    </row>
    <row r="8" spans="2:180" s="528" customFormat="1" ht="11.25" hidden="1" customHeight="1">
      <c r="B8" s="529"/>
      <c r="F8" s="56"/>
      <c r="G8" s="59"/>
      <c r="H8" s="35"/>
      <c r="I8" s="35"/>
      <c r="J8" s="35"/>
      <c r="K8" s="35"/>
      <c r="L8" s="35"/>
      <c r="M8" s="56"/>
      <c r="N8" s="56"/>
      <c r="O8" s="1453" t="s">
        <v>1045</v>
      </c>
      <c r="P8" s="1454"/>
      <c r="Q8" s="1454"/>
      <c r="R8" s="1454"/>
      <c r="S8" s="1454"/>
      <c r="T8" s="1454"/>
      <c r="U8" s="1454"/>
      <c r="V8" s="1454"/>
      <c r="W8" s="1454"/>
      <c r="X8" s="1454"/>
      <c r="Y8" s="1454"/>
      <c r="Z8" s="1454"/>
      <c r="AA8" s="1454"/>
      <c r="AB8" s="1454"/>
      <c r="AC8" s="1454"/>
      <c r="AD8" s="1454"/>
      <c r="AE8" s="1454"/>
      <c r="AF8" s="1454"/>
      <c r="AG8" s="1454"/>
      <c r="AH8" s="1454"/>
      <c r="AI8" s="1454"/>
      <c r="AJ8" s="1454"/>
      <c r="AK8" s="1454"/>
      <c r="AL8" s="1454"/>
      <c r="AM8" s="1454"/>
      <c r="AN8" s="1454"/>
      <c r="AO8" s="1454"/>
      <c r="AP8" s="1454"/>
      <c r="AQ8" s="1454"/>
      <c r="AR8" s="1454"/>
      <c r="AS8" s="1454"/>
      <c r="AT8" s="1454"/>
      <c r="AU8" s="1454"/>
      <c r="AV8" s="1454"/>
      <c r="AW8" s="1454"/>
      <c r="AX8" s="1454"/>
      <c r="AY8" s="1454"/>
      <c r="AZ8" s="1454"/>
      <c r="BA8" s="1454"/>
      <c r="BB8" s="1454"/>
      <c r="BC8" s="1454"/>
      <c r="BD8" s="1454"/>
      <c r="BE8" s="1454"/>
      <c r="BF8" s="1454"/>
      <c r="BG8" s="1454"/>
      <c r="BH8" s="1454"/>
      <c r="BI8" s="1454"/>
      <c r="BJ8" s="1454"/>
      <c r="BK8" s="1454"/>
      <c r="BL8" s="1454"/>
      <c r="BM8" s="1454"/>
      <c r="BN8" s="1454"/>
      <c r="BO8" s="1454"/>
      <c r="BP8" s="1454"/>
      <c r="BQ8" s="1454"/>
      <c r="BR8" s="1454"/>
      <c r="BS8" s="1455"/>
      <c r="BT8" s="1442"/>
      <c r="BU8" s="1443"/>
      <c r="BV8" s="1443"/>
      <c r="BW8" s="1443"/>
      <c r="BX8" s="1443"/>
      <c r="BY8" s="1443"/>
      <c r="BZ8" s="1443"/>
      <c r="CA8" s="1443"/>
      <c r="CB8" s="1443"/>
      <c r="CC8" s="1443"/>
      <c r="CD8" s="1443"/>
      <c r="CE8" s="1443"/>
      <c r="CF8" s="1443"/>
      <c r="CG8" s="1443"/>
      <c r="CH8" s="1443"/>
      <c r="CI8" s="1443"/>
      <c r="CJ8" s="1443"/>
      <c r="CK8" s="1443"/>
      <c r="CL8" s="1443"/>
      <c r="CM8" s="1443"/>
      <c r="CN8" s="1443"/>
      <c r="CO8" s="1443"/>
      <c r="CP8" s="1443"/>
      <c r="CQ8" s="1443"/>
      <c r="CR8" s="1443"/>
      <c r="CS8" s="1443"/>
      <c r="CT8" s="1443"/>
      <c r="CU8" s="1443"/>
      <c r="CV8" s="1443"/>
      <c r="CW8" s="1443"/>
      <c r="CX8" s="1444"/>
      <c r="CY8" s="1445"/>
      <c r="CZ8" s="1446"/>
      <c r="DA8" s="1446"/>
      <c r="DB8" s="1446"/>
      <c r="DC8" s="1446"/>
      <c r="DD8" s="1446"/>
      <c r="DE8" s="1446"/>
      <c r="DF8" s="1446"/>
      <c r="DG8" s="1446"/>
      <c r="DH8" s="1446"/>
      <c r="DI8" s="1446"/>
      <c r="DJ8" s="1446"/>
      <c r="DK8" s="1446"/>
      <c r="DL8" s="1446"/>
      <c r="DM8" s="1446"/>
      <c r="DN8" s="1446"/>
      <c r="DO8" s="1446"/>
      <c r="DP8" s="1446"/>
      <c r="DQ8" s="1446"/>
      <c r="DR8" s="1446"/>
      <c r="DS8" s="1446"/>
      <c r="DT8" s="1446"/>
      <c r="DU8" s="1446"/>
      <c r="DV8" s="1446"/>
      <c r="DW8" s="1446"/>
      <c r="DX8" s="1447"/>
      <c r="DY8" s="1448" t="s">
        <v>1046</v>
      </c>
      <c r="DZ8" s="1449"/>
      <c r="EA8" s="1449"/>
      <c r="EB8" s="1449"/>
      <c r="EC8" s="1449"/>
      <c r="ED8" s="1449"/>
      <c r="EE8" s="1449"/>
      <c r="EF8" s="1449"/>
      <c r="EG8" s="1449"/>
      <c r="EH8" s="1449"/>
      <c r="EI8" s="1449"/>
      <c r="EJ8" s="1449"/>
      <c r="EK8" s="1449"/>
      <c r="EL8" s="1449"/>
      <c r="EM8" s="1449"/>
      <c r="EN8" s="1449"/>
      <c r="EO8" s="1449"/>
      <c r="EP8" s="1449"/>
      <c r="EQ8" s="1449"/>
      <c r="ER8" s="1449"/>
      <c r="ES8" s="1449"/>
      <c r="ET8" s="1449"/>
      <c r="EU8" s="1449"/>
      <c r="EV8" s="1449"/>
      <c r="EW8" s="1449"/>
      <c r="EX8" s="1449"/>
      <c r="EY8" s="1449"/>
      <c r="EZ8" s="1449"/>
      <c r="FA8" s="1449"/>
      <c r="FB8" s="1449"/>
      <c r="FC8" s="1449"/>
      <c r="FD8" s="1449"/>
      <c r="FE8" s="1449"/>
      <c r="FF8" s="1449"/>
      <c r="FG8" s="1449"/>
      <c r="FH8" s="1449"/>
      <c r="FI8" s="1449"/>
      <c r="FJ8" s="1449"/>
      <c r="FK8" s="1449"/>
      <c r="FL8" s="1449"/>
      <c r="FM8" s="1449"/>
      <c r="FN8" s="1449"/>
      <c r="FO8" s="1449"/>
      <c r="FP8" s="1449"/>
      <c r="FQ8" s="1449"/>
      <c r="FR8" s="1449"/>
      <c r="FS8" s="1449"/>
      <c r="FT8" s="1449"/>
      <c r="FU8" s="1449"/>
      <c r="FV8" s="1449"/>
      <c r="FW8" s="1450"/>
      <c r="FX8" s="56"/>
    </row>
    <row r="9" spans="2:180" s="528" customFormat="1" ht="11.25" hidden="1" customHeight="1">
      <c r="B9" s="529"/>
      <c r="F9" s="56"/>
      <c r="G9" s="59"/>
      <c r="H9" s="35"/>
      <c r="I9" s="35"/>
      <c r="J9" s="35"/>
      <c r="K9" s="35"/>
      <c r="L9" s="35"/>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1451"/>
      <c r="FX9" s="56"/>
    </row>
    <row r="10" spans="2:180" s="528" customFormat="1" ht="11.25" customHeight="1">
      <c r="B10" s="529"/>
      <c r="F10" s="1378" t="s">
        <v>299</v>
      </c>
      <c r="G10" s="1434"/>
      <c r="H10" s="1434"/>
      <c r="I10" s="1434"/>
      <c r="J10" s="1434"/>
      <c r="K10" s="1434"/>
      <c r="L10" s="1434"/>
      <c r="M10" s="1434"/>
      <c r="N10" s="1434"/>
      <c r="O10" s="1434"/>
      <c r="P10" s="1434"/>
      <c r="Q10" s="1434"/>
      <c r="R10" s="1434"/>
      <c r="S10" s="1434"/>
      <c r="T10" s="1434"/>
      <c r="U10" s="1434"/>
      <c r="V10" s="1434"/>
      <c r="W10" s="1434"/>
      <c r="X10" s="1434"/>
      <c r="Y10" s="1434"/>
      <c r="Z10" s="1434"/>
      <c r="AA10" s="1434"/>
      <c r="AB10" s="1434"/>
      <c r="AC10" s="1434"/>
      <c r="AD10" s="1434"/>
      <c r="AE10" s="1434"/>
      <c r="AF10" s="1434"/>
      <c r="AG10" s="1434"/>
      <c r="AH10" s="1434"/>
      <c r="AI10" s="1434"/>
      <c r="AJ10" s="1434"/>
      <c r="AK10" s="1434"/>
      <c r="AL10" s="1434"/>
      <c r="AM10" s="1434"/>
      <c r="AN10" s="1434"/>
      <c r="AO10" s="1434"/>
      <c r="AP10" s="1434"/>
      <c r="AQ10" s="1434"/>
      <c r="AR10" s="1434"/>
      <c r="AS10" s="1434"/>
      <c r="AT10" s="1434"/>
      <c r="AU10" s="1434"/>
      <c r="AV10" s="1434"/>
      <c r="AW10" s="1434"/>
      <c r="AX10" s="1434"/>
      <c r="AY10" s="1434"/>
      <c r="AZ10" s="1434"/>
      <c r="BA10" s="1434"/>
      <c r="BB10" s="1434"/>
      <c r="BC10" s="1434"/>
      <c r="BD10" s="1434"/>
      <c r="BE10" s="1434"/>
      <c r="BF10" s="1434"/>
      <c r="BG10" s="1434"/>
      <c r="BH10" s="1434"/>
      <c r="BI10" s="1434"/>
      <c r="BJ10" s="1434"/>
      <c r="BK10" s="1434"/>
      <c r="BL10" s="1434"/>
      <c r="BM10" s="1434"/>
      <c r="BN10" s="1434"/>
      <c r="BO10" s="1434"/>
      <c r="BP10" s="1434"/>
      <c r="BQ10" s="1434"/>
      <c r="BR10" s="1434"/>
      <c r="BS10" s="1434"/>
      <c r="BT10" s="1434"/>
      <c r="BU10" s="1434"/>
      <c r="BV10" s="1434"/>
      <c r="BW10" s="1434"/>
      <c r="BX10" s="1434"/>
      <c r="BY10" s="1434"/>
      <c r="BZ10" s="1434"/>
      <c r="CA10" s="1434"/>
      <c r="CB10" s="1434"/>
      <c r="CC10" s="1434"/>
      <c r="CD10" s="1434"/>
      <c r="CE10" s="1434"/>
      <c r="CF10" s="1434"/>
      <c r="CG10" s="1434"/>
      <c r="CH10" s="1434"/>
      <c r="CI10" s="1434"/>
      <c r="CJ10" s="1434"/>
      <c r="CK10" s="1434"/>
      <c r="CL10" s="1434"/>
      <c r="CM10" s="1434"/>
      <c r="CN10" s="1434"/>
      <c r="CO10" s="1434"/>
      <c r="CP10" s="1434"/>
      <c r="CQ10" s="1434"/>
      <c r="CR10" s="1434"/>
      <c r="CS10" s="1434"/>
      <c r="CT10" s="1434"/>
      <c r="CU10" s="1434"/>
      <c r="CV10" s="1434"/>
      <c r="CW10" s="1434"/>
      <c r="CX10" s="1434"/>
      <c r="CY10" s="1434"/>
      <c r="CZ10" s="1434"/>
      <c r="DA10" s="1434"/>
      <c r="DB10" s="1434"/>
      <c r="DC10" s="1434"/>
      <c r="DD10" s="1434"/>
      <c r="DE10" s="1434"/>
      <c r="DF10" s="1434"/>
      <c r="DG10" s="1434"/>
      <c r="DH10" s="1434"/>
      <c r="DI10" s="1434"/>
      <c r="DJ10" s="1434"/>
      <c r="DK10" s="1434"/>
      <c r="DL10" s="1434"/>
      <c r="DM10" s="1434"/>
      <c r="DN10" s="1434"/>
      <c r="DO10" s="1434"/>
      <c r="DP10" s="1434"/>
      <c r="DQ10" s="1434"/>
      <c r="DR10" s="1434"/>
      <c r="DS10" s="1434"/>
      <c r="DT10" s="1434"/>
      <c r="DU10" s="1434"/>
      <c r="DV10" s="1434"/>
      <c r="DW10" s="1434"/>
      <c r="DX10" s="1434"/>
      <c r="DY10" s="1434"/>
      <c r="DZ10" s="1434"/>
      <c r="EA10" s="1434"/>
      <c r="EB10" s="1434"/>
      <c r="EC10" s="1434"/>
      <c r="ED10" s="1434"/>
      <c r="EE10" s="1434"/>
      <c r="EF10" s="1434"/>
      <c r="EG10" s="1434"/>
      <c r="EH10" s="1434"/>
      <c r="EI10" s="1434"/>
      <c r="EJ10" s="1434"/>
      <c r="EK10" s="1434"/>
      <c r="EL10" s="1434"/>
      <c r="EM10" s="1434"/>
      <c r="EN10" s="1434"/>
      <c r="EO10" s="1434"/>
      <c r="EP10" s="1434"/>
      <c r="EQ10" s="1434"/>
      <c r="ER10" s="1434"/>
      <c r="ES10" s="1434"/>
      <c r="ET10" s="1434"/>
      <c r="EU10" s="1434"/>
      <c r="EV10" s="1434"/>
      <c r="EW10" s="1434"/>
      <c r="EX10" s="1434"/>
      <c r="EY10" s="1434"/>
      <c r="EZ10" s="1434"/>
      <c r="FA10" s="1434"/>
      <c r="FB10" s="1434"/>
      <c r="FC10" s="1434"/>
      <c r="FD10" s="1434"/>
      <c r="FE10" s="1434"/>
      <c r="FF10" s="1434"/>
      <c r="FG10" s="1434"/>
      <c r="FH10" s="1434"/>
      <c r="FI10" s="1434"/>
      <c r="FJ10" s="1434"/>
      <c r="FK10" s="1434"/>
      <c r="FL10" s="1434"/>
      <c r="FM10" s="1434"/>
      <c r="FN10" s="1434"/>
      <c r="FO10" s="1434"/>
      <c r="FP10" s="1434"/>
      <c r="FQ10" s="1434"/>
      <c r="FR10" s="1434"/>
      <c r="FS10" s="1434"/>
      <c r="FT10" s="1434"/>
      <c r="FU10" s="1434"/>
      <c r="FV10" s="1410"/>
      <c r="FW10" s="1451"/>
      <c r="FX10" s="56"/>
    </row>
    <row r="11" spans="2:180" ht="12" customHeight="1">
      <c r="E11" s="531"/>
      <c r="F11" s="1220" t="s">
        <v>84</v>
      </c>
      <c r="G11" s="1220" t="s">
        <v>1047</v>
      </c>
      <c r="H11" s="1220" t="s">
        <v>1048</v>
      </c>
      <c r="I11" s="1220" t="s">
        <v>1049</v>
      </c>
      <c r="J11" s="1441"/>
      <c r="K11" s="1441"/>
      <c r="L11" s="1441"/>
      <c r="M11" s="1441"/>
      <c r="N11" s="1441"/>
      <c r="O11" s="1224" t="s">
        <v>1050</v>
      </c>
      <c r="P11" s="1224"/>
      <c r="Q11" s="1224"/>
      <c r="R11" s="1224"/>
      <c r="S11" s="1224"/>
      <c r="T11" s="1224"/>
      <c r="U11" s="1224"/>
      <c r="V11" s="1224"/>
      <c r="W11" s="1224"/>
      <c r="X11" s="1224"/>
      <c r="Y11" s="1224"/>
      <c r="Z11" s="1224"/>
      <c r="AA11" s="1224"/>
      <c r="AB11" s="1224"/>
      <c r="AC11" s="1439"/>
      <c r="AD11" s="1439"/>
      <c r="AE11" s="1439"/>
      <c r="AF11" s="1439"/>
      <c r="AG11" s="1439"/>
      <c r="AH11" s="1439"/>
      <c r="AI11" s="1439"/>
      <c r="AJ11" s="1439"/>
      <c r="AK11" s="1439"/>
      <c r="AL11" s="1439"/>
      <c r="AM11" s="1439"/>
      <c r="AN11" s="1439"/>
      <c r="AO11" s="1439"/>
      <c r="AP11" s="1439"/>
      <c r="AQ11" s="1439"/>
      <c r="AR11" s="1439"/>
      <c r="AS11" s="1439"/>
      <c r="AT11" s="1439"/>
      <c r="AU11" s="1439"/>
      <c r="AV11" s="1439"/>
      <c r="AW11" s="1439"/>
      <c r="AX11" s="1439"/>
      <c r="AY11" s="1439"/>
      <c r="AZ11" s="1439"/>
      <c r="BA11" s="1439"/>
      <c r="BB11" s="1439"/>
      <c r="BC11" s="1439"/>
      <c r="BD11" s="1439"/>
      <c r="BE11" s="1439"/>
      <c r="BF11" s="1439"/>
      <c r="BG11" s="1439"/>
      <c r="BH11" s="1439"/>
      <c r="BI11" s="1439"/>
      <c r="BJ11" s="1439"/>
      <c r="BK11" s="1439"/>
      <c r="BL11" s="1439"/>
      <c r="BM11" s="1439"/>
      <c r="BN11" s="1439"/>
      <c r="BO11" s="1439"/>
      <c r="BP11" s="1439"/>
      <c r="BQ11" s="1439"/>
      <c r="BR11" s="1439"/>
      <c r="BS11" s="1456"/>
      <c r="BT11" s="1436" t="s">
        <v>1050</v>
      </c>
      <c r="BU11" s="1437"/>
      <c r="BV11" s="1437"/>
      <c r="BW11" s="1437"/>
      <c r="BX11" s="1437"/>
      <c r="BY11" s="1437"/>
      <c r="BZ11" s="1437"/>
      <c r="CA11" s="1437"/>
      <c r="CB11" s="1437"/>
      <c r="CC11" s="1437"/>
      <c r="CD11" s="1437"/>
      <c r="CE11" s="1437"/>
      <c r="CF11" s="1437"/>
      <c r="CG11" s="1437"/>
      <c r="CH11" s="1437"/>
      <c r="CI11" s="1437"/>
      <c r="CJ11" s="1437"/>
      <c r="CK11" s="1438"/>
      <c r="CL11" s="1440"/>
      <c r="CM11" s="1439"/>
      <c r="CN11" s="1439"/>
      <c r="CO11" s="1439"/>
      <c r="CP11" s="1439"/>
      <c r="CQ11" s="1439"/>
      <c r="CR11" s="1439"/>
      <c r="CS11" s="1439"/>
      <c r="CT11" s="1439"/>
      <c r="CU11" s="1439"/>
      <c r="CV11" s="1439"/>
      <c r="CW11" s="1439"/>
      <c r="CX11" s="1456"/>
      <c r="CY11" s="1436" t="s">
        <v>1050</v>
      </c>
      <c r="CZ11" s="1437"/>
      <c r="DA11" s="1437"/>
      <c r="DB11" s="1437"/>
      <c r="DC11" s="1437"/>
      <c r="DD11" s="1437"/>
      <c r="DE11" s="1437"/>
      <c r="DF11" s="1437"/>
      <c r="DG11" s="1437"/>
      <c r="DH11" s="1437"/>
      <c r="DI11" s="1437"/>
      <c r="DJ11" s="1438"/>
      <c r="DK11" s="1440"/>
      <c r="DL11" s="1439"/>
      <c r="DM11" s="1439"/>
      <c r="DN11" s="1439"/>
      <c r="DO11" s="1439"/>
      <c r="DP11" s="1439"/>
      <c r="DQ11" s="1439"/>
      <c r="DR11" s="1439"/>
      <c r="DS11" s="1439"/>
      <c r="DT11" s="1439"/>
      <c r="DU11" s="1439"/>
      <c r="DV11" s="1439"/>
      <c r="DW11" s="1439"/>
      <c r="DX11" s="1439"/>
      <c r="DY11" s="1439"/>
      <c r="DZ11" s="1439"/>
      <c r="EA11" s="1439"/>
      <c r="EB11" s="1439"/>
      <c r="EC11" s="1439"/>
      <c r="ED11" s="1439"/>
      <c r="EE11" s="1439"/>
      <c r="EF11" s="1439"/>
      <c r="EG11" s="1439"/>
      <c r="EH11" s="1439"/>
      <c r="EI11" s="1439"/>
      <c r="EJ11" s="1439"/>
      <c r="EK11" s="1439"/>
      <c r="EL11" s="1439"/>
      <c r="EM11" s="1439"/>
      <c r="EN11" s="1439"/>
      <c r="EO11" s="1439"/>
      <c r="EP11" s="1439"/>
      <c r="EQ11" s="1439"/>
      <c r="ER11" s="1439"/>
      <c r="ES11" s="1439"/>
      <c r="ET11" s="1439"/>
      <c r="EU11" s="1439"/>
      <c r="EV11" s="1439"/>
      <c r="EW11" s="1439"/>
      <c r="EX11" s="1439"/>
      <c r="EY11" s="1439"/>
      <c r="EZ11" s="1439"/>
      <c r="FA11" s="1439"/>
      <c r="FB11" s="1439"/>
      <c r="FC11" s="1439"/>
      <c r="FD11" s="1439"/>
      <c r="FE11" s="1439"/>
      <c r="FF11" s="1439"/>
      <c r="FG11" s="1439"/>
      <c r="FH11" s="1439"/>
      <c r="FI11" s="1439"/>
      <c r="FJ11" s="1439"/>
      <c r="FK11" s="1439"/>
      <c r="FL11" s="1439"/>
      <c r="FM11" s="1439"/>
      <c r="FN11" s="1439"/>
      <c r="FO11" s="1439"/>
      <c r="FP11" s="1439"/>
      <c r="FQ11" s="1439"/>
      <c r="FR11" s="1439"/>
      <c r="FS11" s="1439"/>
      <c r="FT11" s="1439"/>
      <c r="FU11" s="1439"/>
      <c r="FV11" s="1439"/>
      <c r="FW11" s="1451"/>
      <c r="FX11" s="34"/>
    </row>
    <row r="12" spans="2:180" ht="12" customHeight="1">
      <c r="D12" s="58"/>
      <c r="E12" s="531"/>
      <c r="F12" s="1220"/>
      <c r="G12" s="1220"/>
      <c r="H12" s="1220"/>
      <c r="I12" s="1220"/>
      <c r="J12" s="1441"/>
      <c r="K12" s="1441"/>
      <c r="L12" s="1441"/>
      <c r="M12" s="1441"/>
      <c r="N12" s="1441"/>
      <c r="O12" s="1224" t="s">
        <v>1051</v>
      </c>
      <c r="P12" s="1224"/>
      <c r="Q12" s="1224"/>
      <c r="R12" s="1224"/>
      <c r="S12" s="1224" t="s">
        <v>1052</v>
      </c>
      <c r="T12" s="1224"/>
      <c r="U12" s="1224"/>
      <c r="V12" s="1224"/>
      <c r="W12" s="1224"/>
      <c r="X12" s="1224"/>
      <c r="Y12" s="1224"/>
      <c r="Z12" s="1224"/>
      <c r="AA12" s="1224"/>
      <c r="AB12" s="1224"/>
      <c r="AC12" s="1439"/>
      <c r="AD12" s="1439"/>
      <c r="AE12" s="1439"/>
      <c r="AF12" s="1439"/>
      <c r="AG12" s="1439"/>
      <c r="AH12" s="1439"/>
      <c r="AI12" s="1439"/>
      <c r="AJ12" s="1439"/>
      <c r="AK12" s="1439"/>
      <c r="AL12" s="1439"/>
      <c r="AM12" s="1439"/>
      <c r="AN12" s="1439"/>
      <c r="AO12" s="1439"/>
      <c r="AP12" s="1439"/>
      <c r="AQ12" s="1439"/>
      <c r="AR12" s="1439"/>
      <c r="AS12" s="1439"/>
      <c r="AT12" s="1439"/>
      <c r="AU12" s="1439"/>
      <c r="AV12" s="1439"/>
      <c r="AW12" s="1439"/>
      <c r="AX12" s="1439"/>
      <c r="AY12" s="1439"/>
      <c r="AZ12" s="1439"/>
      <c r="BA12" s="1439"/>
      <c r="BB12" s="1439"/>
      <c r="BC12" s="1439"/>
      <c r="BD12" s="1439"/>
      <c r="BE12" s="1439"/>
      <c r="BF12" s="1439"/>
      <c r="BG12" s="1439"/>
      <c r="BH12" s="1439"/>
      <c r="BI12" s="1439"/>
      <c r="BJ12" s="1439"/>
      <c r="BK12" s="1439"/>
      <c r="BL12" s="1439"/>
      <c r="BM12" s="1439"/>
      <c r="BN12" s="1439"/>
      <c r="BO12" s="1439"/>
      <c r="BP12" s="1439"/>
      <c r="BQ12" s="1439"/>
      <c r="BR12" s="1439"/>
      <c r="BS12" s="1456"/>
      <c r="BT12" s="1436" t="s">
        <v>1053</v>
      </c>
      <c r="BU12" s="1437"/>
      <c r="BV12" s="1437"/>
      <c r="BW12" s="1438"/>
      <c r="BX12" s="1436" t="s">
        <v>1054</v>
      </c>
      <c r="BY12" s="1437"/>
      <c r="BZ12" s="1437"/>
      <c r="CA12" s="1438"/>
      <c r="CB12" s="1436" t="s">
        <v>1055</v>
      </c>
      <c r="CC12" s="1438"/>
      <c r="CD12" s="1436" t="s">
        <v>1056</v>
      </c>
      <c r="CE12" s="1437"/>
      <c r="CF12" s="1437"/>
      <c r="CG12" s="1437"/>
      <c r="CH12" s="1437"/>
      <c r="CI12" s="1437"/>
      <c r="CJ12" s="1437"/>
      <c r="CK12" s="1438"/>
      <c r="CL12" s="1440"/>
      <c r="CM12" s="1439"/>
      <c r="CN12" s="1439"/>
      <c r="CO12" s="1439"/>
      <c r="CP12" s="1439"/>
      <c r="CQ12" s="1439"/>
      <c r="CR12" s="1439"/>
      <c r="CS12" s="1439"/>
      <c r="CT12" s="1439"/>
      <c r="CU12" s="1439"/>
      <c r="CV12" s="1439"/>
      <c r="CW12" s="1439"/>
      <c r="CX12" s="1456"/>
      <c r="CY12" s="1436" t="s">
        <v>1057</v>
      </c>
      <c r="CZ12" s="1437"/>
      <c r="DA12" s="1437"/>
      <c r="DB12" s="1437"/>
      <c r="DC12" s="1437"/>
      <c r="DD12" s="1438"/>
      <c r="DE12" s="1436" t="s">
        <v>1058</v>
      </c>
      <c r="DF12" s="1438"/>
      <c r="DG12" s="1436" t="s">
        <v>1056</v>
      </c>
      <c r="DH12" s="1437"/>
      <c r="DI12" s="1437"/>
      <c r="DJ12" s="1438"/>
      <c r="DK12" s="1440"/>
      <c r="DL12" s="1439"/>
      <c r="DM12" s="1439"/>
      <c r="DN12" s="1439"/>
      <c r="DO12" s="1439"/>
      <c r="DP12" s="1439"/>
      <c r="DQ12" s="1439"/>
      <c r="DR12" s="1439"/>
      <c r="DS12" s="1439"/>
      <c r="DT12" s="1439"/>
      <c r="DU12" s="1439"/>
      <c r="DV12" s="1439"/>
      <c r="DW12" s="1439"/>
      <c r="DX12" s="1439"/>
      <c r="DY12" s="1439"/>
      <c r="DZ12" s="1439"/>
      <c r="EA12" s="1439"/>
      <c r="EB12" s="1439"/>
      <c r="EC12" s="1439"/>
      <c r="ED12" s="1439"/>
      <c r="EE12" s="1439"/>
      <c r="EF12" s="1439"/>
      <c r="EG12" s="1439"/>
      <c r="EH12" s="1439"/>
      <c r="EI12" s="1439"/>
      <c r="EJ12" s="1439"/>
      <c r="EK12" s="1439"/>
      <c r="EL12" s="1439"/>
      <c r="EM12" s="1439"/>
      <c r="EN12" s="1439"/>
      <c r="EO12" s="1439"/>
      <c r="EP12" s="1439"/>
      <c r="EQ12" s="1439"/>
      <c r="ER12" s="1439"/>
      <c r="ES12" s="1439"/>
      <c r="ET12" s="1439"/>
      <c r="EU12" s="1439"/>
      <c r="EV12" s="1439"/>
      <c r="EW12" s="1439"/>
      <c r="EX12" s="1439"/>
      <c r="EY12" s="1439"/>
      <c r="EZ12" s="1439"/>
      <c r="FA12" s="1439"/>
      <c r="FB12" s="1439"/>
      <c r="FC12" s="1439"/>
      <c r="FD12" s="1439"/>
      <c r="FE12" s="1439"/>
      <c r="FF12" s="1439"/>
      <c r="FG12" s="1439"/>
      <c r="FH12" s="1439"/>
      <c r="FI12" s="1439"/>
      <c r="FJ12" s="1439"/>
      <c r="FK12" s="1439"/>
      <c r="FL12" s="1439"/>
      <c r="FM12" s="1439"/>
      <c r="FN12" s="1439"/>
      <c r="FO12" s="1439"/>
      <c r="FP12" s="1439"/>
      <c r="FQ12" s="1439"/>
      <c r="FR12" s="1439"/>
      <c r="FS12" s="1439"/>
      <c r="FT12" s="1439"/>
      <c r="FU12" s="1439"/>
      <c r="FV12" s="1439"/>
      <c r="FW12" s="1451"/>
      <c r="FX12" s="34"/>
    </row>
    <row r="13" spans="2:180" ht="36" customHeight="1">
      <c r="D13" s="58"/>
      <c r="E13" s="531"/>
      <c r="F13" s="1220"/>
      <c r="G13" s="1220"/>
      <c r="H13" s="1220"/>
      <c r="I13" s="1220"/>
      <c r="J13" s="1441"/>
      <c r="K13" s="1441"/>
      <c r="L13" s="1441"/>
      <c r="M13" s="1441"/>
      <c r="N13" s="1441"/>
      <c r="O13" s="1224" t="s">
        <v>1059</v>
      </c>
      <c r="P13" s="1224"/>
      <c r="Q13" s="1224"/>
      <c r="R13" s="1224"/>
      <c r="S13" s="1318" t="s">
        <v>1060</v>
      </c>
      <c r="T13" s="1398"/>
      <c r="U13" s="1146" t="s">
        <v>1061</v>
      </c>
      <c r="V13" s="1146"/>
      <c r="W13" s="1146"/>
      <c r="X13" s="1146"/>
      <c r="Y13" s="1146" t="s">
        <v>1062</v>
      </c>
      <c r="Z13" s="1146"/>
      <c r="AA13" s="1146"/>
      <c r="AB13" s="1146"/>
      <c r="AC13" s="1439"/>
      <c r="AD13" s="1439"/>
      <c r="AE13" s="1439"/>
      <c r="AF13" s="1439"/>
      <c r="AG13" s="1439"/>
      <c r="AH13" s="1439"/>
      <c r="AI13" s="1439"/>
      <c r="AJ13" s="1439"/>
      <c r="AK13" s="1439"/>
      <c r="AL13" s="1439"/>
      <c r="AM13" s="1439"/>
      <c r="AN13" s="1439"/>
      <c r="AO13" s="1439"/>
      <c r="AP13" s="1439"/>
      <c r="AQ13" s="1439"/>
      <c r="AR13" s="1439"/>
      <c r="AS13" s="1439"/>
      <c r="AT13" s="1439"/>
      <c r="AU13" s="1439"/>
      <c r="AV13" s="1439"/>
      <c r="AW13" s="1439"/>
      <c r="AX13" s="1439"/>
      <c r="AY13" s="1439"/>
      <c r="AZ13" s="1439"/>
      <c r="BA13" s="1439"/>
      <c r="BB13" s="1439"/>
      <c r="BC13" s="1439"/>
      <c r="BD13" s="1439"/>
      <c r="BE13" s="1439"/>
      <c r="BF13" s="1439"/>
      <c r="BG13" s="1439"/>
      <c r="BH13" s="1439"/>
      <c r="BI13" s="1439"/>
      <c r="BJ13" s="1439"/>
      <c r="BK13" s="1439"/>
      <c r="BL13" s="1439"/>
      <c r="BM13" s="1439"/>
      <c r="BN13" s="1439"/>
      <c r="BO13" s="1439"/>
      <c r="BP13" s="1439"/>
      <c r="BQ13" s="1439"/>
      <c r="BR13" s="1439"/>
      <c r="BS13" s="1456"/>
      <c r="BT13" s="1318" t="s">
        <v>1063</v>
      </c>
      <c r="BU13" s="1398"/>
      <c r="BV13" s="1318" t="s">
        <v>1064</v>
      </c>
      <c r="BW13" s="1398"/>
      <c r="BX13" s="1318" t="s">
        <v>1065</v>
      </c>
      <c r="BY13" s="1398"/>
      <c r="BZ13" s="1318" t="s">
        <v>1066</v>
      </c>
      <c r="CA13" s="1398"/>
      <c r="CB13" s="1318" t="s">
        <v>1067</v>
      </c>
      <c r="CC13" s="1398"/>
      <c r="CD13" s="1318" t="s">
        <v>1068</v>
      </c>
      <c r="CE13" s="1398"/>
      <c r="CF13" s="1318" t="s">
        <v>1069</v>
      </c>
      <c r="CG13" s="1398"/>
      <c r="CH13" s="1436" t="s">
        <v>1070</v>
      </c>
      <c r="CI13" s="1437"/>
      <c r="CJ13" s="1437"/>
      <c r="CK13" s="1438"/>
      <c r="CL13" s="1440"/>
      <c r="CM13" s="1439"/>
      <c r="CN13" s="1439"/>
      <c r="CO13" s="1439"/>
      <c r="CP13" s="1439"/>
      <c r="CQ13" s="1439"/>
      <c r="CR13" s="1439"/>
      <c r="CS13" s="1439"/>
      <c r="CT13" s="1439"/>
      <c r="CU13" s="1439"/>
      <c r="CV13" s="1439"/>
      <c r="CW13" s="1439"/>
      <c r="CX13" s="1456"/>
      <c r="CY13" s="1318" t="s">
        <v>1071</v>
      </c>
      <c r="CZ13" s="1398"/>
      <c r="DA13" s="1318" t="s">
        <v>1072</v>
      </c>
      <c r="DB13" s="1398"/>
      <c r="DC13" s="1318" t="s">
        <v>1073</v>
      </c>
      <c r="DD13" s="1398"/>
      <c r="DE13" s="1318" t="s">
        <v>1074</v>
      </c>
      <c r="DF13" s="1398"/>
      <c r="DG13" s="1436" t="s">
        <v>1075</v>
      </c>
      <c r="DH13" s="1437"/>
      <c r="DI13" s="1437"/>
      <c r="DJ13" s="1438"/>
      <c r="DK13" s="1440"/>
      <c r="DL13" s="1439"/>
      <c r="DM13" s="1439"/>
      <c r="DN13" s="1439"/>
      <c r="DO13" s="1439"/>
      <c r="DP13" s="1439"/>
      <c r="DQ13" s="1439"/>
      <c r="DR13" s="1439"/>
      <c r="DS13" s="1439"/>
      <c r="DT13" s="1439"/>
      <c r="DU13" s="1439"/>
      <c r="DV13" s="1439"/>
      <c r="DW13" s="1439"/>
      <c r="DX13" s="1439"/>
      <c r="DY13" s="1439"/>
      <c r="DZ13" s="1439"/>
      <c r="EA13" s="1439"/>
      <c r="EB13" s="1439"/>
      <c r="EC13" s="1439"/>
      <c r="ED13" s="1439"/>
      <c r="EE13" s="1439"/>
      <c r="EF13" s="1439"/>
      <c r="EG13" s="1439"/>
      <c r="EH13" s="1439"/>
      <c r="EI13" s="1439"/>
      <c r="EJ13" s="1439"/>
      <c r="EK13" s="1439"/>
      <c r="EL13" s="1439"/>
      <c r="EM13" s="1439"/>
      <c r="EN13" s="1439"/>
      <c r="EO13" s="1439"/>
      <c r="EP13" s="1439"/>
      <c r="EQ13" s="1439"/>
      <c r="ER13" s="1439"/>
      <c r="ES13" s="1439"/>
      <c r="ET13" s="1439"/>
      <c r="EU13" s="1439"/>
      <c r="EV13" s="1439"/>
      <c r="EW13" s="1439"/>
      <c r="EX13" s="1439"/>
      <c r="EY13" s="1439"/>
      <c r="EZ13" s="1439"/>
      <c r="FA13" s="1439"/>
      <c r="FB13" s="1439"/>
      <c r="FC13" s="1439"/>
      <c r="FD13" s="1439"/>
      <c r="FE13" s="1439"/>
      <c r="FF13" s="1439"/>
      <c r="FG13" s="1439"/>
      <c r="FH13" s="1439"/>
      <c r="FI13" s="1439"/>
      <c r="FJ13" s="1439"/>
      <c r="FK13" s="1439"/>
      <c r="FL13" s="1439"/>
      <c r="FM13" s="1439"/>
      <c r="FN13" s="1439"/>
      <c r="FO13" s="1439"/>
      <c r="FP13" s="1439"/>
      <c r="FQ13" s="1439"/>
      <c r="FR13" s="1439"/>
      <c r="FS13" s="1439"/>
      <c r="FT13" s="1439"/>
      <c r="FU13" s="1439"/>
      <c r="FV13" s="1439"/>
      <c r="FW13" s="1451"/>
      <c r="FX13" s="34"/>
    </row>
    <row r="14" spans="2:180" ht="36" customHeight="1">
      <c r="D14" s="58"/>
      <c r="E14" s="531"/>
      <c r="F14" s="1220"/>
      <c r="G14" s="1220"/>
      <c r="H14" s="1220"/>
      <c r="I14" s="1220"/>
      <c r="J14" s="1441"/>
      <c r="K14" s="1441"/>
      <c r="L14" s="1441"/>
      <c r="M14" s="1441"/>
      <c r="N14" s="1441"/>
      <c r="O14" s="1318" t="s">
        <v>1076</v>
      </c>
      <c r="P14" s="1398"/>
      <c r="Q14" s="1318" t="s">
        <v>1077</v>
      </c>
      <c r="R14" s="1398"/>
      <c r="S14" s="1319"/>
      <c r="T14" s="1228"/>
      <c r="U14" s="1318" t="s">
        <v>753</v>
      </c>
      <c r="V14" s="1398"/>
      <c r="W14" s="1318" t="s">
        <v>756</v>
      </c>
      <c r="X14" s="1398"/>
      <c r="Y14" s="1318" t="s">
        <v>753</v>
      </c>
      <c r="Z14" s="1398"/>
      <c r="AA14" s="1318" t="s">
        <v>763</v>
      </c>
      <c r="AB14" s="1398"/>
      <c r="AC14" s="1439"/>
      <c r="AD14" s="1439"/>
      <c r="AE14" s="1439"/>
      <c r="AF14" s="1439"/>
      <c r="AG14" s="1439"/>
      <c r="AH14" s="1439"/>
      <c r="AI14" s="1439"/>
      <c r="AJ14" s="1439"/>
      <c r="AK14" s="1439"/>
      <c r="AL14" s="1439"/>
      <c r="AM14" s="1439"/>
      <c r="AN14" s="1439"/>
      <c r="AO14" s="1439"/>
      <c r="AP14" s="1439"/>
      <c r="AQ14" s="1439"/>
      <c r="AR14" s="1439"/>
      <c r="AS14" s="1439"/>
      <c r="AT14" s="1439"/>
      <c r="AU14" s="1439"/>
      <c r="AV14" s="1439"/>
      <c r="AW14" s="1439"/>
      <c r="AX14" s="1439"/>
      <c r="AY14" s="1439"/>
      <c r="AZ14" s="1439"/>
      <c r="BA14" s="1439"/>
      <c r="BB14" s="1439"/>
      <c r="BC14" s="1439"/>
      <c r="BD14" s="1439"/>
      <c r="BE14" s="1439"/>
      <c r="BF14" s="1439"/>
      <c r="BG14" s="1439"/>
      <c r="BH14" s="1439"/>
      <c r="BI14" s="1439"/>
      <c r="BJ14" s="1439"/>
      <c r="BK14" s="1439"/>
      <c r="BL14" s="1439"/>
      <c r="BM14" s="1439"/>
      <c r="BN14" s="1439"/>
      <c r="BO14" s="1439"/>
      <c r="BP14" s="1439"/>
      <c r="BQ14" s="1439"/>
      <c r="BR14" s="1439"/>
      <c r="BS14" s="1456"/>
      <c r="BT14" s="1319"/>
      <c r="BU14" s="1228"/>
      <c r="BV14" s="1319"/>
      <c r="BW14" s="1228"/>
      <c r="BX14" s="1319"/>
      <c r="BY14" s="1228"/>
      <c r="BZ14" s="1319"/>
      <c r="CA14" s="1228"/>
      <c r="CB14" s="1319"/>
      <c r="CC14" s="1228"/>
      <c r="CD14" s="1319"/>
      <c r="CE14" s="1228"/>
      <c r="CF14" s="1319"/>
      <c r="CG14" s="1228"/>
      <c r="CH14" s="1318" t="s">
        <v>1078</v>
      </c>
      <c r="CI14" s="1398"/>
      <c r="CJ14" s="1318" t="s">
        <v>1079</v>
      </c>
      <c r="CK14" s="1398"/>
      <c r="CL14" s="1440"/>
      <c r="CM14" s="1439"/>
      <c r="CN14" s="1439"/>
      <c r="CO14" s="1439"/>
      <c r="CP14" s="1439"/>
      <c r="CQ14" s="1439"/>
      <c r="CR14" s="1439"/>
      <c r="CS14" s="1439"/>
      <c r="CT14" s="1439"/>
      <c r="CU14" s="1439"/>
      <c r="CV14" s="1439"/>
      <c r="CW14" s="1439"/>
      <c r="CX14" s="1456"/>
      <c r="CY14" s="1319"/>
      <c r="CZ14" s="1228"/>
      <c r="DA14" s="1319"/>
      <c r="DB14" s="1228"/>
      <c r="DC14" s="1319"/>
      <c r="DD14" s="1228"/>
      <c r="DE14" s="1319"/>
      <c r="DF14" s="1228"/>
      <c r="DG14" s="1318" t="s">
        <v>1080</v>
      </c>
      <c r="DH14" s="1398"/>
      <c r="DI14" s="1318" t="s">
        <v>1081</v>
      </c>
      <c r="DJ14" s="1398"/>
      <c r="DK14" s="1440"/>
      <c r="DL14" s="1439"/>
      <c r="DM14" s="1439"/>
      <c r="DN14" s="1439"/>
      <c r="DO14" s="1439"/>
      <c r="DP14" s="1439"/>
      <c r="DQ14" s="1439"/>
      <c r="DR14" s="1439"/>
      <c r="DS14" s="1439"/>
      <c r="DT14" s="1439"/>
      <c r="DU14" s="1439"/>
      <c r="DV14" s="1439"/>
      <c r="DW14" s="1439"/>
      <c r="DX14" s="1439"/>
      <c r="DY14" s="1439"/>
      <c r="DZ14" s="1439"/>
      <c r="EA14" s="1439"/>
      <c r="EB14" s="1439"/>
      <c r="EC14" s="1439"/>
      <c r="ED14" s="1439"/>
      <c r="EE14" s="1439"/>
      <c r="EF14" s="1439"/>
      <c r="EG14" s="1439"/>
      <c r="EH14" s="1439"/>
      <c r="EI14" s="1439"/>
      <c r="EJ14" s="1439"/>
      <c r="EK14" s="1439"/>
      <c r="EL14" s="1439"/>
      <c r="EM14" s="1439"/>
      <c r="EN14" s="1439"/>
      <c r="EO14" s="1439"/>
      <c r="EP14" s="1439"/>
      <c r="EQ14" s="1439"/>
      <c r="ER14" s="1439"/>
      <c r="ES14" s="1439"/>
      <c r="ET14" s="1439"/>
      <c r="EU14" s="1439"/>
      <c r="EV14" s="1439"/>
      <c r="EW14" s="1439"/>
      <c r="EX14" s="1439"/>
      <c r="EY14" s="1439"/>
      <c r="EZ14" s="1439"/>
      <c r="FA14" s="1439"/>
      <c r="FB14" s="1439"/>
      <c r="FC14" s="1439"/>
      <c r="FD14" s="1439"/>
      <c r="FE14" s="1439"/>
      <c r="FF14" s="1439"/>
      <c r="FG14" s="1439"/>
      <c r="FH14" s="1439"/>
      <c r="FI14" s="1439"/>
      <c r="FJ14" s="1439"/>
      <c r="FK14" s="1439"/>
      <c r="FL14" s="1439"/>
      <c r="FM14" s="1439"/>
      <c r="FN14" s="1439"/>
      <c r="FO14" s="1439"/>
      <c r="FP14" s="1439"/>
      <c r="FQ14" s="1439"/>
      <c r="FR14" s="1439"/>
      <c r="FS14" s="1439"/>
      <c r="FT14" s="1439"/>
      <c r="FU14" s="1439"/>
      <c r="FV14" s="1439"/>
      <c r="FW14" s="1451"/>
      <c r="FX14" s="34"/>
    </row>
    <row r="15" spans="2:180" ht="36" customHeight="1">
      <c r="D15" s="58"/>
      <c r="E15" s="531"/>
      <c r="F15" s="1220"/>
      <c r="G15" s="1220"/>
      <c r="H15" s="1220"/>
      <c r="I15" s="1220"/>
      <c r="J15" s="1441"/>
      <c r="K15" s="1441"/>
      <c r="L15" s="1441"/>
      <c r="M15" s="1441"/>
      <c r="N15" s="1441"/>
      <c r="O15" s="1320"/>
      <c r="P15" s="1399"/>
      <c r="Q15" s="1320"/>
      <c r="R15" s="1399"/>
      <c r="S15" s="1320"/>
      <c r="T15" s="1399"/>
      <c r="U15" s="1320"/>
      <c r="V15" s="1399"/>
      <c r="W15" s="1320"/>
      <c r="X15" s="1399"/>
      <c r="Y15" s="1320"/>
      <c r="Z15" s="1399"/>
      <c r="AA15" s="1320"/>
      <c r="AB15" s="1399"/>
      <c r="AC15" s="1439"/>
      <c r="AD15" s="1439"/>
      <c r="AE15" s="1439"/>
      <c r="AF15" s="1439"/>
      <c r="AG15" s="1439"/>
      <c r="AH15" s="1439"/>
      <c r="AI15" s="1439"/>
      <c r="AJ15" s="1439"/>
      <c r="AK15" s="1439"/>
      <c r="AL15" s="1439"/>
      <c r="AM15" s="1439"/>
      <c r="AN15" s="1439"/>
      <c r="AO15" s="1439"/>
      <c r="AP15" s="1439"/>
      <c r="AQ15" s="1439"/>
      <c r="AR15" s="1439"/>
      <c r="AS15" s="1439"/>
      <c r="AT15" s="1439"/>
      <c r="AU15" s="1439"/>
      <c r="AV15" s="1439"/>
      <c r="AW15" s="1439"/>
      <c r="AX15" s="1439"/>
      <c r="AY15" s="1439"/>
      <c r="AZ15" s="1439"/>
      <c r="BA15" s="1439"/>
      <c r="BB15" s="1439"/>
      <c r="BC15" s="1439"/>
      <c r="BD15" s="1439"/>
      <c r="BE15" s="1439"/>
      <c r="BF15" s="1439"/>
      <c r="BG15" s="1439"/>
      <c r="BH15" s="1439"/>
      <c r="BI15" s="1439"/>
      <c r="BJ15" s="1439"/>
      <c r="BK15" s="1439"/>
      <c r="BL15" s="1439"/>
      <c r="BM15" s="1439"/>
      <c r="BN15" s="1439"/>
      <c r="BO15" s="1439"/>
      <c r="BP15" s="1439"/>
      <c r="BQ15" s="1439"/>
      <c r="BR15" s="1439"/>
      <c r="BS15" s="1456"/>
      <c r="BT15" s="1320"/>
      <c r="BU15" s="1399"/>
      <c r="BV15" s="1320"/>
      <c r="BW15" s="1399"/>
      <c r="BX15" s="1320"/>
      <c r="BY15" s="1399"/>
      <c r="BZ15" s="1320"/>
      <c r="CA15" s="1399"/>
      <c r="CB15" s="1320"/>
      <c r="CC15" s="1399"/>
      <c r="CD15" s="1320"/>
      <c r="CE15" s="1399"/>
      <c r="CF15" s="1320"/>
      <c r="CG15" s="1399"/>
      <c r="CH15" s="1320"/>
      <c r="CI15" s="1399"/>
      <c r="CJ15" s="1320"/>
      <c r="CK15" s="1399"/>
      <c r="CL15" s="1440"/>
      <c r="CM15" s="1439"/>
      <c r="CN15" s="1439"/>
      <c r="CO15" s="1439"/>
      <c r="CP15" s="1439"/>
      <c r="CQ15" s="1439"/>
      <c r="CR15" s="1439"/>
      <c r="CS15" s="1439"/>
      <c r="CT15" s="1439"/>
      <c r="CU15" s="1439"/>
      <c r="CV15" s="1439"/>
      <c r="CW15" s="1439"/>
      <c r="CX15" s="1456"/>
      <c r="CY15" s="1320"/>
      <c r="CZ15" s="1399"/>
      <c r="DA15" s="1320"/>
      <c r="DB15" s="1399"/>
      <c r="DC15" s="1320"/>
      <c r="DD15" s="1399"/>
      <c r="DE15" s="1320"/>
      <c r="DF15" s="1399"/>
      <c r="DG15" s="1320"/>
      <c r="DH15" s="1399"/>
      <c r="DI15" s="1320"/>
      <c r="DJ15" s="1399"/>
      <c r="DK15" s="1440"/>
      <c r="DL15" s="1439"/>
      <c r="DM15" s="1439"/>
      <c r="DN15" s="1439"/>
      <c r="DO15" s="1439"/>
      <c r="DP15" s="1439"/>
      <c r="DQ15" s="1439"/>
      <c r="DR15" s="1439"/>
      <c r="DS15" s="1439"/>
      <c r="DT15" s="1439"/>
      <c r="DU15" s="1439"/>
      <c r="DV15" s="1439"/>
      <c r="DW15" s="1439"/>
      <c r="DX15" s="1439"/>
      <c r="DY15" s="1439"/>
      <c r="DZ15" s="1439"/>
      <c r="EA15" s="1439"/>
      <c r="EB15" s="1439"/>
      <c r="EC15" s="1439"/>
      <c r="ED15" s="1439"/>
      <c r="EE15" s="1439"/>
      <c r="EF15" s="1439"/>
      <c r="EG15" s="1439"/>
      <c r="EH15" s="1439"/>
      <c r="EI15" s="1439"/>
      <c r="EJ15" s="1439"/>
      <c r="EK15" s="1439"/>
      <c r="EL15" s="1439"/>
      <c r="EM15" s="1439"/>
      <c r="EN15" s="1439"/>
      <c r="EO15" s="1439"/>
      <c r="EP15" s="1439"/>
      <c r="EQ15" s="1439"/>
      <c r="ER15" s="1439"/>
      <c r="ES15" s="1439"/>
      <c r="ET15" s="1439"/>
      <c r="EU15" s="1439"/>
      <c r="EV15" s="1439"/>
      <c r="EW15" s="1439"/>
      <c r="EX15" s="1439"/>
      <c r="EY15" s="1439"/>
      <c r="EZ15" s="1439"/>
      <c r="FA15" s="1439"/>
      <c r="FB15" s="1439"/>
      <c r="FC15" s="1439"/>
      <c r="FD15" s="1439"/>
      <c r="FE15" s="1439"/>
      <c r="FF15" s="1439"/>
      <c r="FG15" s="1439"/>
      <c r="FH15" s="1439"/>
      <c r="FI15" s="1439"/>
      <c r="FJ15" s="1439"/>
      <c r="FK15" s="1439"/>
      <c r="FL15" s="1439"/>
      <c r="FM15" s="1439"/>
      <c r="FN15" s="1439"/>
      <c r="FO15" s="1439"/>
      <c r="FP15" s="1439"/>
      <c r="FQ15" s="1439"/>
      <c r="FR15" s="1439"/>
      <c r="FS15" s="1439"/>
      <c r="FT15" s="1439"/>
      <c r="FU15" s="1439"/>
      <c r="FV15" s="1439"/>
      <c r="FW15" s="1451"/>
      <c r="FX15" s="34"/>
    </row>
    <row r="16" spans="2:180" ht="12" customHeight="1">
      <c r="D16" s="58"/>
      <c r="E16" s="531"/>
      <c r="F16" s="1220"/>
      <c r="G16" s="1220"/>
      <c r="H16" s="1220"/>
      <c r="I16" s="1220"/>
      <c r="J16" s="1441"/>
      <c r="K16" s="1441"/>
      <c r="L16" s="1441"/>
      <c r="M16" s="1441"/>
      <c r="N16" s="1441"/>
      <c r="O16" s="1436" t="s">
        <v>743</v>
      </c>
      <c r="P16" s="1438"/>
      <c r="Q16" s="1436" t="s">
        <v>745</v>
      </c>
      <c r="R16" s="1438"/>
      <c r="S16" s="1436" t="s">
        <v>749</v>
      </c>
      <c r="T16" s="1438"/>
      <c r="U16" s="1436" t="s">
        <v>754</v>
      </c>
      <c r="V16" s="1438"/>
      <c r="W16" s="1436" t="s">
        <v>757</v>
      </c>
      <c r="X16" s="1438"/>
      <c r="Y16" s="1436" t="s">
        <v>761</v>
      </c>
      <c r="Z16" s="1438"/>
      <c r="AA16" s="1436" t="s">
        <v>764</v>
      </c>
      <c r="AB16" s="1438"/>
      <c r="AC16" s="1439"/>
      <c r="AD16" s="1439"/>
      <c r="AE16" s="1439"/>
      <c r="AF16" s="1439"/>
      <c r="AG16" s="1439"/>
      <c r="AH16" s="1439"/>
      <c r="AI16" s="1439"/>
      <c r="AJ16" s="1439"/>
      <c r="AK16" s="1439"/>
      <c r="AL16" s="1439"/>
      <c r="AM16" s="1439"/>
      <c r="AN16" s="1439"/>
      <c r="AO16" s="1439"/>
      <c r="AP16" s="1439"/>
      <c r="AQ16" s="1439"/>
      <c r="AR16" s="1439"/>
      <c r="AS16" s="1439"/>
      <c r="AT16" s="1439"/>
      <c r="AU16" s="1439"/>
      <c r="AV16" s="1439"/>
      <c r="AW16" s="1439"/>
      <c r="AX16" s="1439"/>
      <c r="AY16" s="1439"/>
      <c r="AZ16" s="1439"/>
      <c r="BA16" s="1439"/>
      <c r="BB16" s="1439"/>
      <c r="BC16" s="1439"/>
      <c r="BD16" s="1439"/>
      <c r="BE16" s="1439"/>
      <c r="BF16" s="1439"/>
      <c r="BG16" s="1439"/>
      <c r="BH16" s="1439"/>
      <c r="BI16" s="1439"/>
      <c r="BJ16" s="1439"/>
      <c r="BK16" s="1439"/>
      <c r="BL16" s="1439"/>
      <c r="BM16" s="1439"/>
      <c r="BN16" s="1439"/>
      <c r="BO16" s="1439"/>
      <c r="BP16" s="1439"/>
      <c r="BQ16" s="1439"/>
      <c r="BR16" s="1439"/>
      <c r="BS16" s="1456"/>
      <c r="BT16" s="1436" t="s">
        <v>557</v>
      </c>
      <c r="BU16" s="1438"/>
      <c r="BV16" s="1436" t="s">
        <v>557</v>
      </c>
      <c r="BW16" s="1438"/>
      <c r="BX16" s="1436" t="s">
        <v>557</v>
      </c>
      <c r="BY16" s="1438"/>
      <c r="BZ16" s="1436" t="s">
        <v>557</v>
      </c>
      <c r="CA16" s="1438"/>
      <c r="CB16" s="1436" t="s">
        <v>1082</v>
      </c>
      <c r="CC16" s="1438"/>
      <c r="CD16" s="1436" t="s">
        <v>557</v>
      </c>
      <c r="CE16" s="1438"/>
      <c r="CF16" s="1436" t="s">
        <v>1083</v>
      </c>
      <c r="CG16" s="1438"/>
      <c r="CH16" s="1436" t="s">
        <v>1084</v>
      </c>
      <c r="CI16" s="1438"/>
      <c r="CJ16" s="1436" t="s">
        <v>1084</v>
      </c>
      <c r="CK16" s="1438"/>
      <c r="CL16" s="1440"/>
      <c r="CM16" s="1439"/>
      <c r="CN16" s="1439"/>
      <c r="CO16" s="1439"/>
      <c r="CP16" s="1439"/>
      <c r="CQ16" s="1439"/>
      <c r="CR16" s="1439"/>
      <c r="CS16" s="1439"/>
      <c r="CT16" s="1439"/>
      <c r="CU16" s="1439"/>
      <c r="CV16" s="1439"/>
      <c r="CW16" s="1439"/>
      <c r="CX16" s="1456"/>
      <c r="CY16" s="1318" t="s">
        <v>557</v>
      </c>
      <c r="CZ16" s="1398"/>
      <c r="DA16" s="1318" t="s">
        <v>557</v>
      </c>
      <c r="DB16" s="1398"/>
      <c r="DC16" s="1318" t="s">
        <v>557</v>
      </c>
      <c r="DD16" s="1398"/>
      <c r="DE16" s="1436" t="s">
        <v>1082</v>
      </c>
      <c r="DF16" s="1438"/>
      <c r="DG16" s="1436" t="s">
        <v>1085</v>
      </c>
      <c r="DH16" s="1438"/>
      <c r="DI16" s="1436" t="s">
        <v>1085</v>
      </c>
      <c r="DJ16" s="1438"/>
      <c r="DK16" s="1440"/>
      <c r="DL16" s="1439"/>
      <c r="DM16" s="1439"/>
      <c r="DN16" s="1439"/>
      <c r="DO16" s="1439"/>
      <c r="DP16" s="1439"/>
      <c r="DQ16" s="1439"/>
      <c r="DR16" s="1439"/>
      <c r="DS16" s="1439"/>
      <c r="DT16" s="1439"/>
      <c r="DU16" s="1439"/>
      <c r="DV16" s="1439"/>
      <c r="DW16" s="1439"/>
      <c r="DX16" s="1439"/>
      <c r="DY16" s="1439"/>
      <c r="DZ16" s="1439"/>
      <c r="EA16" s="1439"/>
      <c r="EB16" s="1439"/>
      <c r="EC16" s="1439"/>
      <c r="ED16" s="1439"/>
      <c r="EE16" s="1439"/>
      <c r="EF16" s="1439"/>
      <c r="EG16" s="1439"/>
      <c r="EH16" s="1439"/>
      <c r="EI16" s="1439"/>
      <c r="EJ16" s="1439"/>
      <c r="EK16" s="1439"/>
      <c r="EL16" s="1439"/>
      <c r="EM16" s="1439"/>
      <c r="EN16" s="1439"/>
      <c r="EO16" s="1439"/>
      <c r="EP16" s="1439"/>
      <c r="EQ16" s="1439"/>
      <c r="ER16" s="1439"/>
      <c r="ES16" s="1439"/>
      <c r="ET16" s="1439"/>
      <c r="EU16" s="1439"/>
      <c r="EV16" s="1439"/>
      <c r="EW16" s="1439"/>
      <c r="EX16" s="1439"/>
      <c r="EY16" s="1439"/>
      <c r="EZ16" s="1439"/>
      <c r="FA16" s="1439"/>
      <c r="FB16" s="1439"/>
      <c r="FC16" s="1439"/>
      <c r="FD16" s="1439"/>
      <c r="FE16" s="1439"/>
      <c r="FF16" s="1439"/>
      <c r="FG16" s="1439"/>
      <c r="FH16" s="1439"/>
      <c r="FI16" s="1439"/>
      <c r="FJ16" s="1439"/>
      <c r="FK16" s="1439"/>
      <c r="FL16" s="1439"/>
      <c r="FM16" s="1439"/>
      <c r="FN16" s="1439"/>
      <c r="FO16" s="1439"/>
      <c r="FP16" s="1439"/>
      <c r="FQ16" s="1439"/>
      <c r="FR16" s="1439"/>
      <c r="FS16" s="1439"/>
      <c r="FT16" s="1439"/>
      <c r="FU16" s="1439"/>
      <c r="FV16" s="1439"/>
      <c r="FW16" s="1451"/>
      <c r="FX16" s="34"/>
    </row>
    <row r="17" spans="1:184" ht="15" customHeight="1">
      <c r="E17" s="531"/>
      <c r="F17" s="1220"/>
      <c r="G17" s="1220"/>
      <c r="H17" s="1220"/>
      <c r="I17" s="1220"/>
      <c r="J17" s="1441"/>
      <c r="K17" s="1441"/>
      <c r="L17" s="1441"/>
      <c r="M17" s="1441"/>
      <c r="N17" s="1441"/>
      <c r="O17" s="37" t="s">
        <v>1086</v>
      </c>
      <c r="P17" s="37" t="s">
        <v>1087</v>
      </c>
      <c r="Q17" s="37" t="s">
        <v>1086</v>
      </c>
      <c r="R17" s="37" t="s">
        <v>1087</v>
      </c>
      <c r="S17" s="37" t="s">
        <v>1086</v>
      </c>
      <c r="T17" s="37" t="s">
        <v>1087</v>
      </c>
      <c r="U17" s="37" t="s">
        <v>1086</v>
      </c>
      <c r="V17" s="37" t="s">
        <v>1087</v>
      </c>
      <c r="W17" s="37" t="s">
        <v>1086</v>
      </c>
      <c r="X17" s="37" t="s">
        <v>1087</v>
      </c>
      <c r="Y17" s="37" t="s">
        <v>1086</v>
      </c>
      <c r="Z17" s="37" t="s">
        <v>1087</v>
      </c>
      <c r="AA17" s="37" t="s">
        <v>1086</v>
      </c>
      <c r="AB17" s="37" t="s">
        <v>1087</v>
      </c>
      <c r="AC17" s="1439"/>
      <c r="AD17" s="1439"/>
      <c r="AE17" s="1439"/>
      <c r="AF17" s="1439"/>
      <c r="AG17" s="1439"/>
      <c r="AH17" s="1439"/>
      <c r="AI17" s="1439"/>
      <c r="AJ17" s="1439"/>
      <c r="AK17" s="1439"/>
      <c r="AL17" s="1439"/>
      <c r="AM17" s="1439"/>
      <c r="AN17" s="1439"/>
      <c r="AO17" s="1439"/>
      <c r="AP17" s="1439"/>
      <c r="AQ17" s="1439"/>
      <c r="AR17" s="1439"/>
      <c r="AS17" s="1439"/>
      <c r="AT17" s="1439"/>
      <c r="AU17" s="1439"/>
      <c r="AV17" s="1439"/>
      <c r="AW17" s="1439"/>
      <c r="AX17" s="1439"/>
      <c r="AY17" s="1439"/>
      <c r="AZ17" s="1439"/>
      <c r="BA17" s="1439"/>
      <c r="BB17" s="1439"/>
      <c r="BC17" s="1439"/>
      <c r="BD17" s="1439"/>
      <c r="BE17" s="1439"/>
      <c r="BF17" s="1439"/>
      <c r="BG17" s="1439"/>
      <c r="BH17" s="1439"/>
      <c r="BI17" s="1439"/>
      <c r="BJ17" s="1439"/>
      <c r="BK17" s="1439"/>
      <c r="BL17" s="1439"/>
      <c r="BM17" s="1439"/>
      <c r="BN17" s="1439"/>
      <c r="BO17" s="1439"/>
      <c r="BP17" s="1439"/>
      <c r="BQ17" s="1439"/>
      <c r="BR17" s="1439"/>
      <c r="BS17" s="1456"/>
      <c r="BT17" s="37" t="s">
        <v>1086</v>
      </c>
      <c r="BU17" s="37" t="s">
        <v>1087</v>
      </c>
      <c r="BV17" s="37" t="s">
        <v>1086</v>
      </c>
      <c r="BW17" s="37" t="s">
        <v>1087</v>
      </c>
      <c r="BX17" s="37" t="s">
        <v>1086</v>
      </c>
      <c r="BY17" s="37" t="s">
        <v>1087</v>
      </c>
      <c r="BZ17" s="37" t="s">
        <v>1086</v>
      </c>
      <c r="CA17" s="37" t="s">
        <v>1087</v>
      </c>
      <c r="CB17" s="37" t="s">
        <v>1086</v>
      </c>
      <c r="CC17" s="37" t="s">
        <v>1087</v>
      </c>
      <c r="CD17" s="37" t="s">
        <v>1086</v>
      </c>
      <c r="CE17" s="37" t="s">
        <v>1087</v>
      </c>
      <c r="CF17" s="37" t="s">
        <v>1086</v>
      </c>
      <c r="CG17" s="37" t="s">
        <v>1087</v>
      </c>
      <c r="CH17" s="37" t="s">
        <v>1086</v>
      </c>
      <c r="CI17" s="37" t="s">
        <v>1087</v>
      </c>
      <c r="CJ17" s="37" t="s">
        <v>1086</v>
      </c>
      <c r="CK17" s="37" t="s">
        <v>1087</v>
      </c>
      <c r="CL17" s="1440"/>
      <c r="CM17" s="1439"/>
      <c r="CN17" s="1439"/>
      <c r="CO17" s="1439"/>
      <c r="CP17" s="1439"/>
      <c r="CQ17" s="1439"/>
      <c r="CR17" s="1439"/>
      <c r="CS17" s="1439"/>
      <c r="CT17" s="1439"/>
      <c r="CU17" s="1439"/>
      <c r="CV17" s="1439"/>
      <c r="CW17" s="1439"/>
      <c r="CX17" s="1456"/>
      <c r="CY17" s="37" t="s">
        <v>1086</v>
      </c>
      <c r="CZ17" s="37" t="s">
        <v>1087</v>
      </c>
      <c r="DA17" s="37" t="s">
        <v>1086</v>
      </c>
      <c r="DB17" s="37" t="s">
        <v>1087</v>
      </c>
      <c r="DC17" s="37" t="s">
        <v>1086</v>
      </c>
      <c r="DD17" s="37" t="s">
        <v>1087</v>
      </c>
      <c r="DE17" s="37" t="s">
        <v>1086</v>
      </c>
      <c r="DF17" s="37" t="s">
        <v>1087</v>
      </c>
      <c r="DG17" s="37" t="s">
        <v>1086</v>
      </c>
      <c r="DH17" s="37" t="s">
        <v>1087</v>
      </c>
      <c r="DI17" s="37" t="s">
        <v>1086</v>
      </c>
      <c r="DJ17" s="37" t="s">
        <v>1087</v>
      </c>
      <c r="DK17" s="1440"/>
      <c r="DL17" s="1439"/>
      <c r="DM17" s="1439"/>
      <c r="DN17" s="1439"/>
      <c r="DO17" s="1439"/>
      <c r="DP17" s="1439"/>
      <c r="DQ17" s="1439"/>
      <c r="DR17" s="1439"/>
      <c r="DS17" s="1439"/>
      <c r="DT17" s="1439"/>
      <c r="DU17" s="1439"/>
      <c r="DV17" s="1439"/>
      <c r="DW17" s="1439"/>
      <c r="DX17" s="1439"/>
      <c r="DY17" s="1439"/>
      <c r="DZ17" s="1439"/>
      <c r="EA17" s="1439"/>
      <c r="EB17" s="1439"/>
      <c r="EC17" s="1439"/>
      <c r="ED17" s="1439"/>
      <c r="EE17" s="1439"/>
      <c r="EF17" s="1439"/>
      <c r="EG17" s="1439"/>
      <c r="EH17" s="1439"/>
      <c r="EI17" s="1439"/>
      <c r="EJ17" s="1439"/>
      <c r="EK17" s="1439"/>
      <c r="EL17" s="1439"/>
      <c r="EM17" s="1439"/>
      <c r="EN17" s="1439"/>
      <c r="EO17" s="1439"/>
      <c r="EP17" s="1439"/>
      <c r="EQ17" s="1439"/>
      <c r="ER17" s="1439"/>
      <c r="ES17" s="1439"/>
      <c r="ET17" s="1439"/>
      <c r="EU17" s="1439"/>
      <c r="EV17" s="1439"/>
      <c r="EW17" s="1439"/>
      <c r="EX17" s="1439"/>
      <c r="EY17" s="1439"/>
      <c r="EZ17" s="1439"/>
      <c r="FA17" s="1439"/>
      <c r="FB17" s="1439"/>
      <c r="FC17" s="1439"/>
      <c r="FD17" s="1439"/>
      <c r="FE17" s="1439"/>
      <c r="FF17" s="1439"/>
      <c r="FG17" s="1439"/>
      <c r="FH17" s="1439"/>
      <c r="FI17" s="1439"/>
      <c r="FJ17" s="1439"/>
      <c r="FK17" s="1439"/>
      <c r="FL17" s="1439"/>
      <c r="FM17" s="1439"/>
      <c r="FN17" s="1439"/>
      <c r="FO17" s="1439"/>
      <c r="FP17" s="1439"/>
      <c r="FQ17" s="1439"/>
      <c r="FR17" s="1439"/>
      <c r="FS17" s="1439"/>
      <c r="FT17" s="1439"/>
      <c r="FU17" s="1439"/>
      <c r="FV17" s="1439"/>
      <c r="FW17" s="1452"/>
      <c r="FX17" s="34"/>
    </row>
    <row r="18" spans="1:184" s="524" customFormat="1" ht="12" hidden="1" customHeight="1">
      <c r="B18" s="525"/>
      <c r="E18" s="532"/>
      <c r="F18" s="678"/>
      <c r="G18" s="678"/>
      <c r="H18" s="678"/>
      <c r="I18" s="678"/>
      <c r="J18" s="679"/>
      <c r="K18" s="679"/>
      <c r="L18" s="679"/>
      <c r="M18" s="679"/>
      <c r="N18" s="679"/>
      <c r="O18" s="678"/>
      <c r="P18" s="678"/>
      <c r="Q18" s="678"/>
      <c r="R18" s="678"/>
      <c r="S18" s="678"/>
      <c r="T18" s="678"/>
      <c r="U18" s="680"/>
      <c r="V18" s="680"/>
      <c r="W18" s="680"/>
      <c r="X18" s="680"/>
      <c r="Y18" s="680"/>
      <c r="Z18" s="680"/>
      <c r="AA18" s="680"/>
      <c r="AB18" s="678"/>
      <c r="AC18" s="679"/>
      <c r="AD18" s="679"/>
      <c r="AE18" s="679"/>
      <c r="AF18" s="679"/>
      <c r="AG18" s="679"/>
      <c r="AH18" s="679"/>
      <c r="AI18" s="679"/>
      <c r="AJ18" s="679"/>
      <c r="AK18" s="679"/>
      <c r="AL18" s="679"/>
      <c r="AM18" s="679"/>
      <c r="AN18" s="679"/>
      <c r="AO18" s="679"/>
      <c r="AP18" s="679"/>
      <c r="AQ18" s="679"/>
      <c r="AR18" s="679"/>
      <c r="AS18" s="679"/>
      <c r="AT18" s="679"/>
      <c r="AU18" s="679"/>
      <c r="AV18" s="679"/>
      <c r="AW18" s="679"/>
      <c r="AX18" s="679"/>
      <c r="AY18" s="679"/>
      <c r="AZ18" s="679"/>
      <c r="BA18" s="679"/>
      <c r="BB18" s="679"/>
      <c r="BC18" s="679"/>
      <c r="BD18" s="679"/>
      <c r="BE18" s="679"/>
      <c r="BF18" s="679"/>
      <c r="BG18" s="679"/>
      <c r="BH18" s="679"/>
      <c r="BI18" s="679"/>
      <c r="BJ18" s="679"/>
      <c r="BK18" s="679"/>
      <c r="BL18" s="679"/>
      <c r="BM18" s="679"/>
      <c r="BN18" s="679"/>
      <c r="BO18" s="679"/>
      <c r="BP18" s="679"/>
      <c r="BQ18" s="679"/>
      <c r="BR18" s="679"/>
      <c r="BS18" s="679"/>
      <c r="BT18" s="681"/>
      <c r="BU18" s="681"/>
      <c r="BV18" s="681"/>
      <c r="BW18" s="681"/>
      <c r="BX18" s="681"/>
      <c r="BY18" s="681"/>
      <c r="BZ18" s="681"/>
      <c r="CA18" s="681"/>
      <c r="CB18" s="681"/>
      <c r="CC18" s="681"/>
      <c r="CD18" s="681"/>
      <c r="CE18" s="681"/>
      <c r="CF18" s="681"/>
      <c r="CG18" s="681"/>
      <c r="CH18" s="681"/>
      <c r="CI18" s="681"/>
      <c r="CJ18" s="681"/>
      <c r="CK18" s="681"/>
      <c r="CL18" s="679"/>
      <c r="CM18" s="679"/>
      <c r="CN18" s="679"/>
      <c r="CO18" s="679"/>
      <c r="CP18" s="679"/>
      <c r="CQ18" s="679"/>
      <c r="CR18" s="679"/>
      <c r="CS18" s="679"/>
      <c r="CT18" s="679"/>
      <c r="CU18" s="679"/>
      <c r="CV18" s="679"/>
      <c r="CW18" s="679"/>
      <c r="CX18" s="679"/>
      <c r="CY18" s="681"/>
      <c r="CZ18" s="681"/>
      <c r="DA18" s="681"/>
      <c r="DB18" s="681"/>
      <c r="DC18" s="681"/>
      <c r="DD18" s="681"/>
      <c r="DE18" s="681"/>
      <c r="DF18" s="681"/>
      <c r="DG18" s="681"/>
      <c r="DH18" s="681"/>
      <c r="DI18" s="681"/>
      <c r="DJ18" s="681"/>
      <c r="DK18" s="679"/>
      <c r="DL18" s="679"/>
      <c r="DM18" s="679"/>
      <c r="DN18" s="679"/>
      <c r="DO18" s="679"/>
      <c r="DP18" s="679"/>
      <c r="DQ18" s="679"/>
      <c r="DR18" s="679"/>
      <c r="DS18" s="679"/>
      <c r="DT18" s="679"/>
      <c r="DU18" s="679"/>
      <c r="DV18" s="679"/>
      <c r="DW18" s="679"/>
      <c r="DX18" s="679"/>
      <c r="DY18" s="679"/>
      <c r="DZ18" s="679"/>
      <c r="EA18" s="679"/>
      <c r="EB18" s="679"/>
      <c r="EC18" s="679"/>
      <c r="ED18" s="679"/>
      <c r="EE18" s="679"/>
      <c r="EF18" s="679"/>
      <c r="EG18" s="679"/>
      <c r="EH18" s="679"/>
      <c r="EI18" s="679"/>
      <c r="EJ18" s="679"/>
      <c r="EK18" s="679"/>
      <c r="EL18" s="679"/>
      <c r="EM18" s="679"/>
      <c r="EN18" s="679"/>
      <c r="EO18" s="679"/>
      <c r="EP18" s="679"/>
      <c r="EQ18" s="679"/>
      <c r="ER18" s="679"/>
      <c r="ES18" s="679"/>
      <c r="ET18" s="679"/>
      <c r="EU18" s="679"/>
      <c r="EV18" s="679"/>
      <c r="EW18" s="679"/>
      <c r="EX18" s="679"/>
      <c r="EY18" s="679"/>
      <c r="EZ18" s="679"/>
      <c r="FA18" s="679"/>
      <c r="FB18" s="679"/>
      <c r="FC18" s="679"/>
      <c r="FD18" s="679"/>
      <c r="FE18" s="679"/>
      <c r="FF18" s="679"/>
      <c r="FG18" s="679"/>
      <c r="FH18" s="679"/>
      <c r="FI18" s="679"/>
      <c r="FJ18" s="679"/>
      <c r="FK18" s="679"/>
      <c r="FL18" s="679"/>
      <c r="FM18" s="679"/>
      <c r="FN18" s="679"/>
      <c r="FO18" s="679"/>
      <c r="FP18" s="679"/>
      <c r="FQ18" s="679"/>
      <c r="FR18" s="679"/>
      <c r="FS18" s="679"/>
      <c r="FT18" s="679"/>
      <c r="FU18" s="679"/>
      <c r="FV18" s="679"/>
      <c r="FW18" s="678"/>
      <c r="FX18" s="652"/>
    </row>
    <row r="19" spans="1:184" s="524" customFormat="1" ht="11.25" hidden="1" customHeight="1">
      <c r="B19" s="525"/>
      <c r="E19" s="532"/>
      <c r="F19" s="678"/>
      <c r="G19" s="678"/>
      <c r="H19" s="678"/>
      <c r="I19" s="678"/>
      <c r="J19" s="678"/>
      <c r="K19" s="678"/>
      <c r="L19" s="678"/>
      <c r="M19" s="678"/>
      <c r="N19" s="678"/>
      <c r="O19" s="678"/>
      <c r="P19" s="678"/>
      <c r="Q19" s="678"/>
      <c r="R19" s="678"/>
      <c r="S19" s="678"/>
      <c r="T19" s="678"/>
      <c r="U19" s="680"/>
      <c r="V19" s="680"/>
      <c r="W19" s="680"/>
      <c r="X19" s="680"/>
      <c r="Y19" s="680"/>
      <c r="Z19" s="680"/>
      <c r="AA19" s="680"/>
      <c r="AB19" s="678"/>
      <c r="AC19" s="678"/>
      <c r="AD19" s="678"/>
      <c r="AE19" s="678"/>
      <c r="AF19" s="678"/>
      <c r="AG19" s="678"/>
      <c r="AH19" s="678"/>
      <c r="AI19" s="678"/>
      <c r="AJ19" s="678"/>
      <c r="AK19" s="678"/>
      <c r="AL19" s="678"/>
      <c r="AM19" s="678"/>
      <c r="AN19" s="678"/>
      <c r="AO19" s="678"/>
      <c r="AP19" s="678"/>
      <c r="AQ19" s="678"/>
      <c r="AR19" s="678"/>
      <c r="AS19" s="678"/>
      <c r="AT19" s="678"/>
      <c r="AU19" s="678"/>
      <c r="AV19" s="678"/>
      <c r="AW19" s="678"/>
      <c r="AX19" s="678"/>
      <c r="AY19" s="678"/>
      <c r="AZ19" s="678"/>
      <c r="BA19" s="678"/>
      <c r="BB19" s="678"/>
      <c r="BC19" s="678"/>
      <c r="BD19" s="678"/>
      <c r="BE19" s="678"/>
      <c r="BF19" s="678"/>
      <c r="BG19" s="678"/>
      <c r="BH19" s="678"/>
      <c r="BI19" s="678"/>
      <c r="BJ19" s="678"/>
      <c r="BK19" s="678"/>
      <c r="BL19" s="678"/>
      <c r="BM19" s="678"/>
      <c r="BN19" s="678"/>
      <c r="BO19" s="678"/>
      <c r="BP19" s="678"/>
      <c r="BQ19" s="678"/>
      <c r="BR19" s="678"/>
      <c r="BS19" s="678"/>
      <c r="BT19" s="678"/>
      <c r="BU19" s="678"/>
      <c r="BV19" s="678"/>
      <c r="BW19" s="678"/>
      <c r="BX19" s="678"/>
      <c r="BY19" s="678"/>
      <c r="BZ19" s="678"/>
      <c r="CA19" s="678"/>
      <c r="CB19" s="678"/>
      <c r="CC19" s="678"/>
      <c r="CD19" s="678"/>
      <c r="CE19" s="678"/>
      <c r="CF19" s="678"/>
      <c r="CG19" s="678"/>
      <c r="CH19" s="678"/>
      <c r="CI19" s="678"/>
      <c r="CJ19" s="678"/>
      <c r="CK19" s="678"/>
      <c r="CL19" s="678"/>
      <c r="CM19" s="678"/>
      <c r="CN19" s="678"/>
      <c r="CO19" s="678"/>
      <c r="CP19" s="678"/>
      <c r="CQ19" s="678"/>
      <c r="CR19" s="678"/>
      <c r="CS19" s="678"/>
      <c r="CT19" s="678"/>
      <c r="CU19" s="678"/>
      <c r="CV19" s="678"/>
      <c r="CW19" s="678"/>
      <c r="CX19" s="678"/>
      <c r="CY19" s="678"/>
      <c r="CZ19" s="678"/>
      <c r="DA19" s="678"/>
      <c r="DB19" s="678"/>
      <c r="DC19" s="678"/>
      <c r="DD19" s="678"/>
      <c r="DE19" s="678"/>
      <c r="DF19" s="678"/>
      <c r="DG19" s="678"/>
      <c r="DH19" s="678"/>
      <c r="DI19" s="678"/>
      <c r="DJ19" s="678"/>
      <c r="DK19" s="678"/>
      <c r="DL19" s="678"/>
      <c r="DM19" s="678"/>
      <c r="DN19" s="678"/>
      <c r="DO19" s="678"/>
      <c r="DP19" s="678"/>
      <c r="DQ19" s="678"/>
      <c r="DR19" s="678"/>
      <c r="DS19" s="678"/>
      <c r="DT19" s="678"/>
      <c r="DU19" s="678"/>
      <c r="DV19" s="678"/>
      <c r="DW19" s="678"/>
      <c r="DX19" s="678"/>
      <c r="DY19" s="678"/>
      <c r="DZ19" s="678"/>
      <c r="EA19" s="678"/>
      <c r="EB19" s="678"/>
      <c r="EC19" s="678"/>
      <c r="ED19" s="678"/>
      <c r="EE19" s="678"/>
      <c r="EF19" s="678"/>
      <c r="EG19" s="678"/>
      <c r="EH19" s="678"/>
      <c r="EI19" s="678"/>
      <c r="EJ19" s="678"/>
      <c r="EK19" s="678"/>
      <c r="EL19" s="678"/>
      <c r="EM19" s="678"/>
      <c r="EN19" s="678"/>
      <c r="EO19" s="678"/>
      <c r="EP19" s="678"/>
      <c r="EQ19" s="678"/>
      <c r="ER19" s="678"/>
      <c r="ES19" s="678"/>
      <c r="ET19" s="678"/>
      <c r="EU19" s="678"/>
      <c r="EV19" s="678"/>
      <c r="EW19" s="678"/>
      <c r="EX19" s="678"/>
      <c r="EY19" s="678"/>
      <c r="EZ19" s="678"/>
      <c r="FA19" s="678"/>
      <c r="FB19" s="678"/>
      <c r="FC19" s="678"/>
      <c r="FD19" s="678"/>
      <c r="FE19" s="678"/>
      <c r="FF19" s="678"/>
      <c r="FG19" s="678"/>
      <c r="FH19" s="678"/>
      <c r="FI19" s="678"/>
      <c r="FJ19" s="678"/>
      <c r="FK19" s="678"/>
      <c r="FL19" s="678"/>
      <c r="FM19" s="678"/>
      <c r="FN19" s="678"/>
      <c r="FO19" s="678"/>
      <c r="FP19" s="678"/>
      <c r="FQ19" s="678"/>
      <c r="FR19" s="678"/>
      <c r="FS19" s="678"/>
      <c r="FT19" s="678"/>
      <c r="FU19" s="678"/>
      <c r="FV19" s="678"/>
      <c r="FW19" s="678"/>
      <c r="FX19" s="652"/>
    </row>
    <row r="20" spans="1:184" s="524" customFormat="1" ht="11.25" hidden="1" customHeight="1">
      <c r="B20" s="525"/>
      <c r="E20" s="532"/>
      <c r="F20" s="682" t="s">
        <v>375</v>
      </c>
      <c r="G20" s="683"/>
      <c r="H20" s="684"/>
      <c r="I20" s="684"/>
      <c r="J20" s="684"/>
      <c r="K20" s="684"/>
      <c r="L20" s="684"/>
      <c r="M20" s="684"/>
      <c r="N20" s="684"/>
      <c r="O20" s="683"/>
      <c r="P20" s="683"/>
      <c r="Q20" s="683"/>
      <c r="R20" s="683"/>
      <c r="S20" s="683"/>
      <c r="T20" s="683"/>
      <c r="U20" s="685"/>
      <c r="V20" s="685"/>
      <c r="W20" s="685"/>
      <c r="X20" s="685"/>
      <c r="Y20" s="685"/>
      <c r="Z20" s="685"/>
      <c r="AA20" s="685"/>
      <c r="AB20" s="683"/>
      <c r="AC20" s="684"/>
      <c r="AD20" s="684"/>
      <c r="AE20" s="684"/>
      <c r="AF20" s="684"/>
      <c r="AG20" s="684"/>
      <c r="AH20" s="684"/>
      <c r="AI20" s="684"/>
      <c r="AJ20" s="684"/>
      <c r="AK20" s="684"/>
      <c r="AL20" s="684"/>
      <c r="AM20" s="684"/>
      <c r="AN20" s="684"/>
      <c r="AO20" s="684"/>
      <c r="AP20" s="684"/>
      <c r="AQ20" s="684"/>
      <c r="AR20" s="684"/>
      <c r="AS20" s="684"/>
      <c r="AT20" s="684"/>
      <c r="AU20" s="684"/>
      <c r="AV20" s="684"/>
      <c r="AW20" s="684"/>
      <c r="AX20" s="684"/>
      <c r="AY20" s="684"/>
      <c r="AZ20" s="684"/>
      <c r="BA20" s="684"/>
      <c r="BB20" s="684"/>
      <c r="BC20" s="684"/>
      <c r="BD20" s="684"/>
      <c r="BE20" s="684"/>
      <c r="BF20" s="684"/>
      <c r="BG20" s="684"/>
      <c r="BH20" s="684"/>
      <c r="BI20" s="684"/>
      <c r="BJ20" s="684"/>
      <c r="BK20" s="684"/>
      <c r="BL20" s="684"/>
      <c r="BM20" s="684"/>
      <c r="BN20" s="684"/>
      <c r="BO20" s="684"/>
      <c r="BP20" s="684"/>
      <c r="BQ20" s="684"/>
      <c r="BR20" s="684"/>
      <c r="BS20" s="684"/>
      <c r="BT20" s="684"/>
      <c r="BU20" s="684"/>
      <c r="BV20" s="684"/>
      <c r="BW20" s="684"/>
      <c r="BX20" s="684"/>
      <c r="BY20" s="684"/>
      <c r="BZ20" s="684"/>
      <c r="CA20" s="684"/>
      <c r="CB20" s="684"/>
      <c r="CC20" s="684"/>
      <c r="CD20" s="684"/>
      <c r="CE20" s="684"/>
      <c r="CF20" s="684"/>
      <c r="CG20" s="684"/>
      <c r="CH20" s="684"/>
      <c r="CI20" s="684"/>
      <c r="CJ20" s="684"/>
      <c r="CK20" s="684"/>
      <c r="CL20" s="686"/>
      <c r="CM20" s="686"/>
      <c r="CN20" s="686"/>
      <c r="CO20" s="686"/>
      <c r="CP20" s="686"/>
      <c r="CQ20" s="686"/>
      <c r="CR20" s="686"/>
      <c r="CS20" s="686"/>
      <c r="CT20" s="686"/>
      <c r="CU20" s="686"/>
      <c r="CV20" s="686"/>
      <c r="CW20" s="686"/>
      <c r="CX20" s="686"/>
      <c r="CY20" s="686"/>
      <c r="CZ20" s="686"/>
      <c r="DA20" s="686"/>
      <c r="DB20" s="686"/>
      <c r="DC20" s="686"/>
      <c r="DD20" s="686"/>
      <c r="DE20" s="686"/>
      <c r="DF20" s="686"/>
      <c r="DG20" s="686"/>
      <c r="DH20" s="686"/>
      <c r="DI20" s="686"/>
      <c r="DJ20" s="686"/>
      <c r="DK20" s="686"/>
      <c r="DL20" s="686"/>
      <c r="DM20" s="686"/>
      <c r="DN20" s="686"/>
      <c r="DO20" s="686"/>
      <c r="DP20" s="686"/>
      <c r="DQ20" s="686"/>
      <c r="DR20" s="686"/>
      <c r="DS20" s="686"/>
      <c r="DT20" s="686"/>
      <c r="DU20" s="686"/>
      <c r="DV20" s="686"/>
      <c r="DW20" s="686"/>
      <c r="DX20" s="686"/>
      <c r="DY20" s="686"/>
      <c r="DZ20" s="686"/>
      <c r="EA20" s="686"/>
      <c r="EB20" s="686"/>
      <c r="EC20" s="686"/>
      <c r="ED20" s="686"/>
      <c r="EE20" s="686"/>
      <c r="EF20" s="686"/>
      <c r="EG20" s="686"/>
      <c r="EH20" s="686"/>
      <c r="EI20" s="686"/>
      <c r="EJ20" s="686"/>
      <c r="EK20" s="686"/>
      <c r="EL20" s="686"/>
      <c r="EM20" s="686"/>
      <c r="EN20" s="686"/>
      <c r="EO20" s="686"/>
      <c r="EP20" s="686"/>
      <c r="EQ20" s="686"/>
      <c r="ER20" s="686"/>
      <c r="ES20" s="686"/>
      <c r="ET20" s="686"/>
      <c r="EU20" s="686"/>
      <c r="EV20" s="686"/>
      <c r="EW20" s="686"/>
      <c r="EX20" s="686"/>
      <c r="EY20" s="686"/>
      <c r="EZ20" s="686"/>
      <c r="FA20" s="686"/>
      <c r="FB20" s="686"/>
      <c r="FC20" s="686"/>
      <c r="FD20" s="686"/>
      <c r="FE20" s="686"/>
      <c r="FF20" s="686"/>
      <c r="FG20" s="686"/>
      <c r="FH20" s="686"/>
      <c r="FI20" s="686"/>
      <c r="FJ20" s="686"/>
      <c r="FK20" s="686"/>
      <c r="FL20" s="686"/>
      <c r="FM20" s="686"/>
      <c r="FN20" s="686"/>
      <c r="FO20" s="686"/>
      <c r="FP20" s="686"/>
      <c r="FQ20" s="686"/>
      <c r="FR20" s="686"/>
      <c r="FS20" s="686"/>
      <c r="FT20" s="686"/>
      <c r="FU20" s="686"/>
      <c r="FV20" s="686"/>
      <c r="FW20" s="686"/>
      <c r="FX20" s="652"/>
    </row>
    <row r="21" spans="1:184" s="524" customFormat="1" ht="21" customHeight="1">
      <c r="A21" s="311" t="s">
        <v>916</v>
      </c>
      <c r="B21" s="525"/>
      <c r="E21" s="532" t="s">
        <v>18</v>
      </c>
      <c r="F21" s="654" t="str">
        <f>INDEX(IP_MAIN_LIST_NAME_IP,MATCH(A21,IP_MAIN_LIST_IP_ID,0))&amp;" ("&amp;INDEX(IP_MAIN_START_DATE,MATCH(A21,IP_MAIN_LIST_IP_ID,0))&amp;"-"&amp;INDEX(IP_MAIN_END_DATE,MATCH(A21,IP_MAIN_LIST_IP_ID,0))&amp;")"</f>
        <v>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 (10.01.2022-31.12.2026)</v>
      </c>
      <c r="G21" s="687"/>
      <c r="H21" s="688"/>
      <c r="I21" s="688"/>
      <c r="J21" s="688"/>
      <c r="K21" s="688"/>
      <c r="L21" s="688"/>
      <c r="M21" s="688"/>
      <c r="N21" s="688"/>
      <c r="O21" s="687"/>
      <c r="P21" s="687"/>
      <c r="Q21" s="687"/>
      <c r="R21" s="687"/>
      <c r="S21" s="687"/>
      <c r="T21" s="687"/>
      <c r="U21" s="689"/>
      <c r="V21" s="689"/>
      <c r="W21" s="689"/>
      <c r="X21" s="689"/>
      <c r="Y21" s="689"/>
      <c r="Z21" s="689"/>
      <c r="AA21" s="689"/>
      <c r="AB21" s="687"/>
      <c r="AC21" s="688"/>
      <c r="AD21" s="688"/>
      <c r="AE21" s="688"/>
      <c r="AF21" s="688"/>
      <c r="AG21" s="688"/>
      <c r="AH21" s="688"/>
      <c r="AI21" s="688"/>
      <c r="AJ21" s="688"/>
      <c r="AK21" s="688"/>
      <c r="AL21" s="688"/>
      <c r="AM21" s="688"/>
      <c r="AN21" s="688"/>
      <c r="AO21" s="688"/>
      <c r="AP21" s="688"/>
      <c r="AQ21" s="688"/>
      <c r="AR21" s="688"/>
      <c r="AS21" s="688"/>
      <c r="AT21" s="688"/>
      <c r="AU21" s="688"/>
      <c r="AV21" s="688"/>
      <c r="AW21" s="688"/>
      <c r="AX21" s="688"/>
      <c r="AY21" s="688"/>
      <c r="AZ21" s="688"/>
      <c r="BA21" s="688"/>
      <c r="BB21" s="688"/>
      <c r="BC21" s="688"/>
      <c r="BD21" s="688"/>
      <c r="BE21" s="688"/>
      <c r="BF21" s="688"/>
      <c r="BG21" s="688"/>
      <c r="BH21" s="688"/>
      <c r="BI21" s="688"/>
      <c r="BJ21" s="688"/>
      <c r="BK21" s="688"/>
      <c r="BL21" s="688"/>
      <c r="BM21" s="688"/>
      <c r="BN21" s="688"/>
      <c r="BO21" s="688"/>
      <c r="BP21" s="688"/>
      <c r="BQ21" s="688"/>
      <c r="BR21" s="688"/>
      <c r="BS21" s="688"/>
      <c r="BT21" s="688"/>
      <c r="BU21" s="688"/>
      <c r="BV21" s="688"/>
      <c r="BW21" s="688"/>
      <c r="BX21" s="688"/>
      <c r="BY21" s="688"/>
      <c r="BZ21" s="688"/>
      <c r="CA21" s="688"/>
      <c r="CB21" s="688"/>
      <c r="CC21" s="688"/>
      <c r="CD21" s="688"/>
      <c r="CE21" s="688"/>
      <c r="CF21" s="688"/>
      <c r="CG21" s="688"/>
      <c r="CH21" s="688"/>
      <c r="CI21" s="688"/>
      <c r="CJ21" s="688"/>
      <c r="CK21" s="688"/>
      <c r="CL21" s="690"/>
      <c r="CM21" s="690"/>
      <c r="CN21" s="690"/>
      <c r="CO21" s="690"/>
      <c r="CP21" s="690"/>
      <c r="CQ21" s="690"/>
      <c r="CR21" s="690"/>
      <c r="CS21" s="690"/>
      <c r="CT21" s="690"/>
      <c r="CU21" s="690"/>
      <c r="CV21" s="690"/>
      <c r="CW21" s="690"/>
      <c r="CX21" s="690"/>
      <c r="CY21" s="690"/>
      <c r="CZ21" s="690"/>
      <c r="DA21" s="690"/>
      <c r="DB21" s="690"/>
      <c r="DC21" s="690"/>
      <c r="DD21" s="690"/>
      <c r="DE21" s="690"/>
      <c r="DF21" s="690"/>
      <c r="DG21" s="690"/>
      <c r="DH21" s="690"/>
      <c r="DI21" s="690"/>
      <c r="DJ21" s="690"/>
      <c r="DK21" s="690"/>
      <c r="DL21" s="690"/>
      <c r="DM21" s="690"/>
      <c r="DN21" s="690"/>
      <c r="DO21" s="690"/>
      <c r="DP21" s="690"/>
      <c r="DQ21" s="690"/>
      <c r="DR21" s="690"/>
      <c r="DS21" s="690"/>
      <c r="DT21" s="690"/>
      <c r="DU21" s="690"/>
      <c r="DV21" s="690"/>
      <c r="DW21" s="690"/>
      <c r="DX21" s="690"/>
      <c r="DY21" s="690"/>
      <c r="DZ21" s="690"/>
      <c r="EA21" s="690"/>
      <c r="EB21" s="690"/>
      <c r="EC21" s="690"/>
      <c r="ED21" s="690"/>
      <c r="EE21" s="690"/>
      <c r="EF21" s="690"/>
      <c r="EG21" s="690"/>
      <c r="EH21" s="690"/>
      <c r="EI21" s="690"/>
      <c r="EJ21" s="690"/>
      <c r="EK21" s="690"/>
      <c r="EL21" s="690"/>
      <c r="EM21" s="690"/>
      <c r="EN21" s="690"/>
      <c r="EO21" s="690"/>
      <c r="EP21" s="690"/>
      <c r="EQ21" s="690"/>
      <c r="ER21" s="690"/>
      <c r="ES21" s="690"/>
      <c r="ET21" s="690"/>
      <c r="EU21" s="690"/>
      <c r="EV21" s="690"/>
      <c r="EW21" s="690"/>
      <c r="EX21" s="690"/>
      <c r="EY21" s="690"/>
      <c r="EZ21" s="690"/>
      <c r="FA21" s="690"/>
      <c r="FB21" s="690"/>
      <c r="FC21" s="690"/>
      <c r="FD21" s="690"/>
      <c r="FE21" s="690"/>
      <c r="FF21" s="690"/>
      <c r="FG21" s="690"/>
      <c r="FH21" s="690"/>
      <c r="FI21" s="690"/>
      <c r="FJ21" s="690"/>
      <c r="FK21" s="690"/>
      <c r="FL21" s="690"/>
      <c r="FM21" s="690"/>
      <c r="FN21" s="690"/>
      <c r="FO21" s="690"/>
      <c r="FP21" s="690"/>
      <c r="FQ21" s="690"/>
      <c r="FR21" s="690"/>
      <c r="FS21" s="690"/>
      <c r="FT21" s="690"/>
      <c r="FU21" s="690"/>
      <c r="FV21" s="691"/>
      <c r="FW21" s="686"/>
      <c r="FX21" s="652"/>
    </row>
    <row r="22" spans="1:184" s="524" customFormat="1" ht="24.75" customHeight="1">
      <c r="A22" s="524" t="s">
        <v>916</v>
      </c>
      <c r="B22" s="525"/>
      <c r="E22"/>
      <c r="F22" s="45">
        <v>1</v>
      </c>
      <c r="G22" s="607" t="s">
        <v>906</v>
      </c>
      <c r="H22" s="200" t="s">
        <v>1088</v>
      </c>
      <c r="I22" s="1043" t="s">
        <v>1089</v>
      </c>
      <c r="J22" s="692"/>
      <c r="K22" s="692"/>
      <c r="L22" s="692"/>
      <c r="M22" s="692"/>
      <c r="N22" s="692"/>
      <c r="O22" s="693">
        <v>0</v>
      </c>
      <c r="P22" s="693">
        <v>0</v>
      </c>
      <c r="Q22" s="693">
        <v>0</v>
      </c>
      <c r="R22" s="693">
        <v>0</v>
      </c>
      <c r="S22" s="693">
        <v>0</v>
      </c>
      <c r="T22" s="693">
        <v>0</v>
      </c>
      <c r="U22" s="693">
        <v>2</v>
      </c>
      <c r="V22" s="693">
        <v>2</v>
      </c>
      <c r="W22" s="693">
        <v>0</v>
      </c>
      <c r="X22" s="693">
        <v>0</v>
      </c>
      <c r="Y22" s="693">
        <v>127167</v>
      </c>
      <c r="Z22" s="693">
        <v>120780</v>
      </c>
      <c r="AA22" s="693">
        <v>0</v>
      </c>
      <c r="AB22" s="693">
        <v>0</v>
      </c>
      <c r="AC22" s="692"/>
      <c r="AD22" s="692"/>
      <c r="AE22" s="692"/>
      <c r="AF22" s="692"/>
      <c r="AG22" s="692"/>
      <c r="AH22" s="692"/>
      <c r="AI22" s="692"/>
      <c r="AJ22" s="692"/>
      <c r="AK22" s="692"/>
      <c r="AL22" s="692"/>
      <c r="AM22" s="692"/>
      <c r="AN22" s="692"/>
      <c r="AO22" s="692"/>
      <c r="AP22" s="692"/>
      <c r="AQ22" s="692"/>
      <c r="AR22" s="692"/>
      <c r="AS22" s="692"/>
      <c r="AT22" s="692"/>
      <c r="AU22" s="692"/>
      <c r="AV22" s="692"/>
      <c r="AW22" s="692"/>
      <c r="AX22" s="692"/>
      <c r="AY22" s="692"/>
      <c r="AZ22" s="692"/>
      <c r="BA22" s="692"/>
      <c r="BB22" s="692"/>
      <c r="BC22" s="692"/>
      <c r="BD22" s="692"/>
      <c r="BE22" s="692"/>
      <c r="BF22" s="692"/>
      <c r="BG22" s="692"/>
      <c r="BH22" s="692"/>
      <c r="BI22" s="692"/>
      <c r="BJ22" s="692"/>
      <c r="BK22" s="692"/>
      <c r="BL22" s="692"/>
      <c r="BM22" s="692"/>
      <c r="BN22" s="692"/>
      <c r="BO22" s="692"/>
      <c r="BP22" s="692"/>
      <c r="BQ22" s="692"/>
      <c r="BR22" s="692"/>
      <c r="BS22" s="692"/>
      <c r="BT22" s="693"/>
      <c r="BU22" s="693"/>
      <c r="BV22" s="693"/>
      <c r="BW22" s="693"/>
      <c r="BX22" s="693"/>
      <c r="BY22" s="693"/>
      <c r="BZ22" s="693"/>
      <c r="CA22" s="693"/>
      <c r="CB22" s="693"/>
      <c r="CC22" s="693"/>
      <c r="CD22" s="693"/>
      <c r="CE22" s="693"/>
      <c r="CF22" s="693"/>
      <c r="CG22" s="693"/>
      <c r="CH22" s="693"/>
      <c r="CI22" s="693"/>
      <c r="CJ22" s="693"/>
      <c r="CK22" s="693"/>
      <c r="CL22" s="692"/>
      <c r="CM22" s="692"/>
      <c r="CN22" s="692"/>
      <c r="CO22" s="692"/>
      <c r="CP22" s="692"/>
      <c r="CQ22" s="692"/>
      <c r="CR22" s="692"/>
      <c r="CS22" s="692"/>
      <c r="CT22" s="692"/>
      <c r="CU22" s="692"/>
      <c r="CV22" s="692"/>
      <c r="CW22" s="692"/>
      <c r="CX22" s="692"/>
      <c r="CY22" s="693"/>
      <c r="CZ22" s="693"/>
      <c r="DA22" s="693"/>
      <c r="DB22" s="693"/>
      <c r="DC22" s="693"/>
      <c r="DD22" s="693"/>
      <c r="DE22" s="693"/>
      <c r="DF22" s="693"/>
      <c r="DG22" s="693"/>
      <c r="DH22" s="693"/>
      <c r="DI22" s="693"/>
      <c r="DJ22" s="693"/>
      <c r="DK22" s="692"/>
      <c r="DL22" s="692"/>
      <c r="DM22" s="692"/>
      <c r="DN22" s="692"/>
      <c r="DO22" s="692"/>
      <c r="DP22" s="692"/>
      <c r="DQ22" s="692"/>
      <c r="DR22" s="692"/>
      <c r="DS22" s="692"/>
      <c r="DT22" s="692"/>
      <c r="DU22" s="692"/>
      <c r="DV22" s="692"/>
      <c r="DW22" s="692"/>
      <c r="DX22" s="692"/>
      <c r="DY22" s="692"/>
      <c r="DZ22" s="692"/>
      <c r="EA22" s="692"/>
      <c r="EB22" s="692"/>
      <c r="EC22" s="692"/>
      <c r="ED22" s="692"/>
      <c r="EE22" s="692"/>
      <c r="EF22" s="692"/>
      <c r="EG22" s="692"/>
      <c r="EH22" s="692"/>
      <c r="EI22" s="692"/>
      <c r="EJ22" s="692"/>
      <c r="EK22" s="692"/>
      <c r="EL22" s="692"/>
      <c r="EM22" s="692"/>
      <c r="EN22" s="692"/>
      <c r="EO22" s="692"/>
      <c r="EP22" s="692"/>
      <c r="EQ22" s="692"/>
      <c r="ER22" s="692"/>
      <c r="ES22" s="692"/>
      <c r="ET22" s="692"/>
      <c r="EU22" s="692"/>
      <c r="EV22" s="692"/>
      <c r="EW22" s="692"/>
      <c r="EX22" s="692"/>
      <c r="EY22" s="692"/>
      <c r="EZ22" s="692"/>
      <c r="FA22" s="692"/>
      <c r="FB22" s="692"/>
      <c r="FC22" s="692"/>
      <c r="FD22" s="692"/>
      <c r="FE22" s="692"/>
      <c r="FF22" s="692"/>
      <c r="FG22" s="692"/>
      <c r="FH22" s="692"/>
      <c r="FI22" s="692"/>
      <c r="FJ22" s="692"/>
      <c r="FK22" s="692"/>
      <c r="FL22" s="692"/>
      <c r="FM22" s="692"/>
      <c r="FN22" s="692"/>
      <c r="FO22" s="692"/>
      <c r="FP22" s="692"/>
      <c r="FQ22" s="692"/>
      <c r="FR22" s="692"/>
      <c r="FS22" s="692"/>
      <c r="FT22" s="692"/>
      <c r="FU22" s="692"/>
      <c r="FV22" s="692"/>
      <c r="FW22" s="692"/>
      <c r="FX22" s="652"/>
    </row>
    <row r="23" spans="1:184" s="524" customFormat="1" ht="12" customHeight="1">
      <c r="A23" s="524" t="s">
        <v>916</v>
      </c>
      <c r="B23" s="525"/>
      <c r="F23" s="694"/>
      <c r="G23" s="695" t="s">
        <v>1090</v>
      </c>
      <c r="H23" s="695"/>
      <c r="I23" s="695"/>
      <c r="J23" s="695"/>
      <c r="K23" s="695"/>
      <c r="L23" s="695"/>
      <c r="M23" s="695"/>
      <c r="N23" s="695"/>
      <c r="O23" s="695"/>
      <c r="P23" s="695"/>
      <c r="Q23" s="695"/>
      <c r="R23" s="695"/>
      <c r="S23" s="695"/>
      <c r="T23" s="695"/>
      <c r="U23" s="695"/>
      <c r="V23" s="695"/>
      <c r="W23" s="695"/>
      <c r="X23" s="695"/>
      <c r="Y23" s="695"/>
      <c r="Z23" s="695"/>
      <c r="AA23" s="695"/>
      <c r="AB23" s="695"/>
      <c r="AC23" s="695"/>
      <c r="AD23" s="695"/>
      <c r="AE23" s="695"/>
      <c r="AF23" s="695"/>
      <c r="AG23" s="695"/>
      <c r="AH23" s="695"/>
      <c r="AI23" s="695"/>
      <c r="AJ23" s="695"/>
      <c r="AK23" s="695"/>
      <c r="AL23" s="695"/>
      <c r="AM23" s="695"/>
      <c r="AN23" s="695"/>
      <c r="AO23" s="695"/>
      <c r="AP23" s="695"/>
      <c r="AQ23" s="695"/>
      <c r="AR23" s="695"/>
      <c r="AS23" s="695"/>
      <c r="AT23" s="695"/>
      <c r="AU23" s="695"/>
      <c r="AV23" s="695"/>
      <c r="AW23" s="695"/>
      <c r="AX23" s="695"/>
      <c r="AY23" s="695"/>
      <c r="AZ23" s="695"/>
      <c r="BA23" s="695"/>
      <c r="BB23" s="695"/>
      <c r="BC23" s="695"/>
      <c r="BD23" s="695"/>
      <c r="BE23" s="695"/>
      <c r="BF23" s="695"/>
      <c r="BG23" s="695"/>
      <c r="BH23" s="695"/>
      <c r="BI23" s="695"/>
      <c r="BJ23" s="695"/>
      <c r="BK23" s="695"/>
      <c r="BL23" s="695"/>
      <c r="BM23" s="695"/>
      <c r="BN23" s="695"/>
      <c r="BO23" s="695"/>
      <c r="BP23" s="695"/>
      <c r="BQ23" s="695"/>
      <c r="BR23" s="695"/>
      <c r="BS23" s="695"/>
      <c r="BT23" s="695"/>
      <c r="BU23" s="695"/>
      <c r="BV23" s="695"/>
      <c r="BW23" s="695"/>
      <c r="BX23" s="695"/>
      <c r="BY23" s="695"/>
      <c r="BZ23" s="695"/>
      <c r="CA23" s="695"/>
      <c r="CB23" s="695"/>
      <c r="CC23" s="695"/>
      <c r="CD23" s="695"/>
      <c r="CE23" s="695"/>
      <c r="CF23" s="695"/>
      <c r="CG23" s="695"/>
      <c r="CH23" s="695"/>
      <c r="CI23" s="695"/>
      <c r="CJ23" s="695"/>
      <c r="CK23" s="695"/>
      <c r="CL23" s="695"/>
      <c r="CM23" s="695"/>
      <c r="CN23" s="695"/>
      <c r="CO23" s="695"/>
      <c r="CP23" s="695"/>
      <c r="CQ23" s="695"/>
      <c r="CR23" s="695"/>
      <c r="CS23" s="695"/>
      <c r="CT23" s="695"/>
      <c r="CU23" s="695"/>
      <c r="CV23" s="695"/>
      <c r="CW23" s="695"/>
      <c r="CX23" s="695"/>
      <c r="CY23" s="695"/>
      <c r="CZ23" s="695"/>
      <c r="DA23" s="695"/>
      <c r="DB23" s="695"/>
      <c r="DC23" s="695"/>
      <c r="DD23" s="695"/>
      <c r="DE23" s="695"/>
      <c r="DF23" s="695"/>
      <c r="DG23" s="695"/>
      <c r="DH23" s="695"/>
      <c r="DI23" s="695"/>
      <c r="DJ23" s="695"/>
      <c r="DK23" s="695"/>
      <c r="DL23" s="695"/>
      <c r="DM23" s="695"/>
      <c r="DN23" s="695"/>
      <c r="DO23" s="695"/>
      <c r="DP23" s="695"/>
      <c r="DQ23" s="695"/>
      <c r="DR23" s="695"/>
      <c r="DS23" s="695"/>
      <c r="DT23" s="695"/>
      <c r="DU23" s="695"/>
      <c r="DV23" s="695"/>
      <c r="DW23" s="695"/>
      <c r="DX23" s="695"/>
      <c r="DY23" s="695"/>
      <c r="DZ23" s="695"/>
      <c r="EA23" s="695"/>
      <c r="EB23" s="695"/>
      <c r="EC23" s="695"/>
      <c r="ED23" s="695"/>
      <c r="EE23" s="695"/>
      <c r="EF23" s="695"/>
      <c r="EG23" s="695"/>
      <c r="EH23" s="695"/>
      <c r="EI23" s="695"/>
      <c r="EJ23" s="695"/>
      <c r="EK23" s="695"/>
      <c r="EL23" s="695"/>
      <c r="EM23" s="695"/>
      <c r="EN23" s="695"/>
      <c r="EO23" s="695"/>
      <c r="EP23" s="695"/>
      <c r="EQ23" s="695"/>
      <c r="ER23" s="695"/>
      <c r="ES23" s="695"/>
      <c r="ET23" s="695"/>
      <c r="EU23" s="695"/>
      <c r="EV23" s="695"/>
      <c r="EW23" s="695"/>
      <c r="EX23" s="695"/>
      <c r="EY23" s="695"/>
      <c r="EZ23" s="695"/>
      <c r="FA23" s="695"/>
      <c r="FB23" s="695"/>
      <c r="FC23" s="695"/>
      <c r="FD23" s="695"/>
      <c r="FE23" s="695"/>
      <c r="FF23" s="695"/>
      <c r="FG23" s="695"/>
      <c r="FH23" s="695"/>
      <c r="FI23" s="695"/>
      <c r="FJ23" s="695"/>
      <c r="FK23" s="695"/>
      <c r="FL23" s="695"/>
      <c r="FM23" s="695"/>
      <c r="FN23" s="695"/>
      <c r="FO23" s="695"/>
      <c r="FP23" s="695"/>
      <c r="FQ23" s="695"/>
      <c r="FR23" s="695"/>
      <c r="FS23" s="695"/>
      <c r="FT23" s="695"/>
      <c r="FU23" s="695"/>
      <c r="FV23" s="695"/>
      <c r="FW23" s="696"/>
      <c r="FX23" s="35"/>
      <c r="FY23" s="58"/>
      <c r="FZ23" s="58"/>
      <c r="GA23" s="58"/>
      <c r="GB23" s="58"/>
    </row>
    <row r="24" spans="1:184" s="524" customFormat="1" ht="12" customHeight="1">
      <c r="A24" s="58"/>
      <c r="B24" s="58"/>
      <c r="C24" s="58"/>
      <c r="D24" s="58"/>
      <c r="E24" s="58"/>
      <c r="F24" s="532"/>
      <c r="G24" s="532"/>
      <c r="H24" s="532"/>
      <c r="I24" s="532"/>
      <c r="J24" s="532"/>
      <c r="K24" s="532"/>
      <c r="L24" s="532"/>
      <c r="M24" s="532"/>
      <c r="N24" s="532"/>
      <c r="O24" s="532"/>
      <c r="P24" s="532"/>
      <c r="Q24" s="532"/>
      <c r="R24" s="532"/>
      <c r="S24" s="533"/>
      <c r="T24" s="533"/>
      <c r="U24" s="532"/>
      <c r="V24" s="532"/>
      <c r="W24" s="532"/>
      <c r="X24" s="532"/>
      <c r="Y24" s="532"/>
      <c r="Z24" s="532"/>
      <c r="AA24" s="532"/>
      <c r="AB24" s="532"/>
      <c r="AC24" s="532"/>
      <c r="AD24" s="532"/>
      <c r="AE24" s="532"/>
      <c r="AF24" s="532"/>
      <c r="AG24" s="532"/>
      <c r="AH24" s="532"/>
      <c r="AI24" s="532"/>
      <c r="AJ24" s="532"/>
      <c r="AK24" s="532"/>
      <c r="AL24" s="532"/>
      <c r="AM24" s="532"/>
      <c r="AN24" s="532"/>
      <c r="AO24" s="532"/>
      <c r="AP24" s="532"/>
      <c r="AQ24" s="532"/>
      <c r="AR24" s="532"/>
      <c r="AS24" s="532"/>
      <c r="AT24" s="532"/>
      <c r="AU24" s="532"/>
      <c r="AV24" s="532"/>
      <c r="AW24" s="532"/>
      <c r="AX24" s="532"/>
      <c r="AY24" s="532"/>
      <c r="AZ24" s="532"/>
      <c r="BA24" s="532"/>
      <c r="BB24" s="532"/>
      <c r="BC24" s="532"/>
      <c r="BD24" s="532"/>
      <c r="BE24" s="532"/>
      <c r="BF24" s="532"/>
      <c r="BG24" s="532"/>
      <c r="BH24" s="532"/>
      <c r="BI24" s="532"/>
      <c r="BJ24" s="532"/>
      <c r="BK24" s="532"/>
      <c r="BL24" s="532"/>
      <c r="BM24" s="532"/>
      <c r="BN24" s="532"/>
      <c r="BO24" s="532"/>
      <c r="BP24" s="532"/>
      <c r="BQ24" s="532"/>
      <c r="BR24" s="532"/>
      <c r="BS24" s="532"/>
      <c r="BT24" s="532"/>
      <c r="BU24" s="532"/>
      <c r="BV24" s="532"/>
      <c r="BW24" s="532"/>
      <c r="BX24" s="532"/>
      <c r="BY24" s="532"/>
      <c r="BZ24" s="532"/>
      <c r="CA24" s="532"/>
      <c r="CB24" s="532"/>
      <c r="CC24" s="532"/>
      <c r="CD24" s="532"/>
      <c r="CE24" s="532"/>
      <c r="CF24" s="532"/>
      <c r="CG24" s="532"/>
      <c r="CH24" s="532"/>
      <c r="CI24" s="532"/>
      <c r="CJ24" s="532"/>
      <c r="CK24" s="532"/>
      <c r="CL24" s="532"/>
      <c r="CM24" s="532"/>
      <c r="CN24" s="532"/>
      <c r="CO24" s="532"/>
      <c r="CP24" s="532"/>
      <c r="CQ24" s="532"/>
      <c r="CR24" s="532"/>
      <c r="CS24" s="532"/>
      <c r="CT24" s="532"/>
      <c r="CU24" s="532"/>
      <c r="CV24" s="532"/>
      <c r="CW24" s="532"/>
      <c r="CX24" s="532"/>
      <c r="CY24" s="532"/>
      <c r="CZ24" s="532"/>
      <c r="DA24" s="532"/>
      <c r="DB24" s="532"/>
      <c r="DC24" s="532"/>
      <c r="DD24" s="532"/>
      <c r="DE24" s="532"/>
      <c r="DF24" s="532"/>
      <c r="DG24" s="532"/>
      <c r="DH24" s="532"/>
      <c r="DI24" s="532"/>
      <c r="DJ24" s="532"/>
      <c r="DK24" s="532"/>
      <c r="DL24" s="532"/>
      <c r="DM24" s="532"/>
      <c r="DN24" s="532"/>
      <c r="DO24" s="532"/>
      <c r="DP24" s="532"/>
      <c r="DQ24" s="532"/>
      <c r="DR24" s="532"/>
      <c r="DS24" s="532"/>
      <c r="DT24" s="532"/>
      <c r="DU24" s="532"/>
      <c r="DV24" s="532"/>
      <c r="DW24" s="532"/>
      <c r="DX24" s="532"/>
      <c r="DY24" s="532"/>
      <c r="DZ24" s="532"/>
      <c r="EA24" s="532"/>
      <c r="EB24" s="532"/>
      <c r="EC24" s="532"/>
      <c r="ED24" s="532"/>
      <c r="EE24" s="532"/>
      <c r="EF24" s="532"/>
      <c r="EG24" s="532"/>
      <c r="EH24" s="532"/>
      <c r="EI24" s="532"/>
      <c r="EJ24" s="532"/>
      <c r="EK24" s="532"/>
      <c r="EL24" s="532"/>
      <c r="EM24" s="532"/>
      <c r="EN24" s="532"/>
      <c r="EO24" s="532"/>
      <c r="EP24" s="532"/>
      <c r="EQ24" s="532"/>
      <c r="ER24" s="532"/>
      <c r="ES24" s="532"/>
      <c r="ET24" s="532"/>
      <c r="EU24" s="532"/>
      <c r="EV24" s="532"/>
      <c r="EW24" s="532"/>
      <c r="EX24" s="532"/>
      <c r="EY24" s="532"/>
      <c r="EZ24" s="532"/>
      <c r="FA24" s="532"/>
      <c r="FB24" s="532"/>
      <c r="FC24" s="532"/>
      <c r="FD24" s="532"/>
      <c r="FE24" s="532"/>
      <c r="FF24" s="532"/>
      <c r="FG24" s="532"/>
      <c r="FH24" s="532"/>
      <c r="FI24" s="532"/>
      <c r="FJ24" s="532"/>
      <c r="FK24" s="532"/>
      <c r="FL24" s="532"/>
      <c r="FM24" s="532"/>
      <c r="FN24" s="532"/>
      <c r="FO24" s="532"/>
      <c r="FP24" s="532"/>
      <c r="FQ24" s="532"/>
      <c r="FR24" s="532"/>
      <c r="FS24" s="532"/>
      <c r="FT24" s="532"/>
      <c r="FU24" s="532"/>
      <c r="FV24" s="532"/>
      <c r="FW24" s="532"/>
      <c r="FX24" s="58"/>
      <c r="FY24" s="58"/>
      <c r="FZ24" s="58"/>
      <c r="GA24" s="58"/>
      <c r="GB24" s="58"/>
    </row>
    <row r="25" spans="1:184" s="524" customFormat="1" ht="12" customHeight="1">
      <c r="A25" s="58"/>
      <c r="B25" s="58"/>
      <c r="C25" s="58"/>
      <c r="D25" s="58"/>
      <c r="E25" s="58"/>
      <c r="FX25" s="58"/>
      <c r="FY25" s="58"/>
      <c r="FZ25" s="58"/>
      <c r="GA25" s="58"/>
      <c r="GB25" s="58"/>
    </row>
    <row r="26" spans="1:184" s="526" customFormat="1" ht="12" customHeight="1">
      <c r="A26" s="58"/>
      <c r="B26" s="58"/>
      <c r="C26" s="58"/>
      <c r="D26" s="58"/>
      <c r="E26" s="58"/>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c r="CU26" s="614"/>
      <c r="CV26" s="614"/>
      <c r="CW26" s="614"/>
      <c r="CX26" s="614"/>
      <c r="CY26" s="614"/>
      <c r="CZ26" s="614"/>
      <c r="DA26" s="614"/>
      <c r="DB26" s="614"/>
      <c r="DC26" s="614"/>
      <c r="DD26" s="614"/>
      <c r="DE26" s="614"/>
      <c r="DF26" s="614"/>
      <c r="DG26" s="614"/>
      <c r="DH26" s="614"/>
      <c r="DI26" s="614"/>
      <c r="DJ26" s="614"/>
      <c r="DK26" s="614"/>
      <c r="DL26" s="614"/>
      <c r="DM26" s="614"/>
      <c r="DN26" s="614"/>
      <c r="DO26" s="614"/>
      <c r="DP26" s="614"/>
      <c r="DQ26" s="614"/>
      <c r="DR26" s="614"/>
      <c r="DS26" s="614"/>
      <c r="DT26" s="614"/>
      <c r="DU26" s="614"/>
      <c r="DV26" s="614"/>
      <c r="DW26" s="614"/>
      <c r="DX26" s="614"/>
      <c r="FX26" s="58"/>
      <c r="FY26" s="58"/>
      <c r="FZ26" s="58"/>
      <c r="GA26" s="58"/>
      <c r="GB26" s="58"/>
    </row>
    <row r="27" spans="1:184" ht="12" customHeight="1">
      <c r="S27" s="58"/>
      <c r="T27" s="58"/>
      <c r="U27" s="58"/>
      <c r="V27" s="58"/>
      <c r="W27" s="58"/>
      <c r="X27" s="58"/>
      <c r="Y27" s="58"/>
      <c r="Z27" s="58"/>
      <c r="AA27" s="58"/>
      <c r="AB27" s="58"/>
      <c r="FX27" s="58"/>
      <c r="FY27" s="58"/>
      <c r="FZ27" s="58"/>
      <c r="GA27" s="58"/>
      <c r="GB27" s="5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
    <dataValidation type="decimal" allowBlank="1" showErrorMessage="1" errorTitle="Ошибка" error="Допускается ввод только действительных чисел!" sqref="O22:AB22 BT22:CK22 CY22:DJ22" xr:uid="{00000000-0002-0000-29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xr:uid="{00000000-0002-0000-2900-00002C000000}">
      <formula1>900</formula1>
    </dataValidation>
    <dataValidation type="list" allowBlank="1" showInputMessage="1" showErrorMessage="1" errorTitle="Ошибка" error="Выберите значение из списка" prompt="Выберите значение из списка" sqref="H22" xr:uid="{00000000-0002-0000-2900-00002D000000}">
      <formula1>QRE_METHOD_LIST</formula1>
    </dataValidation>
    <dataValidation allowBlank="1" showInputMessage="1" showErrorMessage="1" sqref="AA14:AB16 U16:Z16" xr:uid="{00000000-0002-0000-2900-00002E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05969-EEF6-AF48-A84A-37C9C3586153}">
  <sheetPr>
    <tabColor theme="2" tint="-9.9978637043366805E-2"/>
  </sheetPr>
  <dimension ref="A1:S22"/>
  <sheetViews>
    <sheetView showGridLines="0" topLeftCell="C4" zoomScale="90" workbookViewId="0">
      <selection activeCell="I8" sqref="I8"/>
    </sheetView>
  </sheetViews>
  <sheetFormatPr defaultColWidth="10.5703125" defaultRowHeight="15" customHeight="1"/>
  <cols>
    <col min="1" max="1" width="9.140625" style="9" hidden="1" customWidth="1"/>
    <col min="2" max="2" width="9.140625" style="12" hidden="1" customWidth="1"/>
    <col min="3" max="3" width="4.7109375" style="86" customWidth="1"/>
    <col min="4" max="4" width="6.28515625" style="12" customWidth="1"/>
    <col min="5" max="5" width="36.7109375" style="12" customWidth="1"/>
    <col min="6" max="6" width="9.5703125" style="12" customWidth="1"/>
    <col min="7" max="7" width="42.42578125" style="12" hidden="1" customWidth="1"/>
    <col min="8" max="8" width="40.7109375" style="12" customWidth="1"/>
    <col min="9" max="9" width="42.42578125" style="12" customWidth="1"/>
    <col min="10" max="10" width="93.42578125" style="63" customWidth="1"/>
    <col min="11" max="18" width="10.5703125" style="12"/>
    <col min="19" max="19" width="10.5703125" style="300"/>
  </cols>
  <sheetData>
    <row r="1" spans="1:19" s="63" customFormat="1" ht="15" hidden="1" customHeight="1">
      <c r="C1" s="299"/>
      <c r="H1" s="63">
        <v>4</v>
      </c>
      <c r="S1" s="234"/>
    </row>
    <row r="2" spans="1:19" ht="22.5" hidden="1" customHeight="1">
      <c r="C2" s="1030" t="s">
        <v>117</v>
      </c>
      <c r="D2" s="44"/>
      <c r="E2" s="215"/>
      <c r="F2" s="42" t="str">
        <f>IF(TEMPLATE_SPHERE="HEAT","Гкал/час","тыс. куб. м/сутки")</f>
        <v>Гкал/час</v>
      </c>
      <c r="G2" s="377"/>
      <c r="H2" s="377"/>
      <c r="I2" s="377"/>
      <c r="J2" s="67"/>
    </row>
    <row r="3" spans="1:19" s="63" customFormat="1" ht="15" hidden="1" customHeight="1">
      <c r="C3" s="299"/>
      <c r="S3" s="234"/>
    </row>
    <row r="5" spans="1:19" ht="37.5" customHeight="1">
      <c r="D5" s="124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249"/>
      <c r="F5" s="1249"/>
      <c r="G5" s="1249"/>
      <c r="H5" s="1249"/>
      <c r="I5" s="1082"/>
    </row>
    <row r="6" spans="1:19" ht="15" customHeight="1">
      <c r="D6" s="1194" t="str">
        <f>IF(org=0,"Не определено",org)</f>
        <v>АО "ХТК"</v>
      </c>
      <c r="E6" s="1194"/>
      <c r="F6" s="1194"/>
      <c r="G6" s="1194"/>
      <c r="H6" s="1194"/>
      <c r="I6" s="1081"/>
    </row>
    <row r="7" spans="1:19" s="12" customFormat="1" ht="15" customHeight="1">
      <c r="A7" s="9"/>
      <c r="C7" s="86"/>
      <c r="D7" s="334"/>
      <c r="E7" s="334"/>
      <c r="F7" s="334"/>
      <c r="G7" s="334"/>
      <c r="H7" s="426"/>
      <c r="I7" s="334" t="s">
        <v>18</v>
      </c>
      <c r="J7" s="63"/>
      <c r="S7" s="300"/>
    </row>
    <row r="8" spans="1:19" ht="0.75" customHeight="1">
      <c r="H8" s="63" t="s">
        <v>114</v>
      </c>
      <c r="I8" s="12" t="s">
        <v>119</v>
      </c>
    </row>
    <row r="9" spans="1:19" ht="15" customHeight="1">
      <c r="D9" s="400"/>
      <c r="E9" s="1347" t="s">
        <v>101</v>
      </c>
      <c r="F9" s="1348"/>
      <c r="G9" s="458" t="str">
        <f>IF(G8="","",INDEX(DIFFERENTIATION_UNMERGE_VD,MATCH(G8,DIFFERENTIATION_ID_DIFF,0)))</f>
        <v/>
      </c>
      <c r="H9" s="458" t="str">
        <f>IF(H8="","",INDEX(DIFFERENTIATION_UNMERGE_VD,MATCH(H8,DIFFERENTIATION_ID_DIFF,0)))</f>
        <v>Передача. Тепловая энергия</v>
      </c>
      <c r="I9" s="458" t="str">
        <f>IF(I8="","",INDEX(DIFFERENTIATION_UNMERGE_VD,MATCH(I8,DIFFERENTIATION_ID_DIFF,0)))</f>
        <v>Передача. Тепловая энергия</v>
      </c>
      <c r="J9" s="1146" t="s">
        <v>300</v>
      </c>
    </row>
    <row r="10" spans="1:19" s="12" customFormat="1" ht="15" customHeight="1">
      <c r="A10" s="9"/>
      <c r="C10" s="86"/>
      <c r="D10" s="400"/>
      <c r="E10" s="1347" t="s">
        <v>563</v>
      </c>
      <c r="F10" s="1348"/>
      <c r="G10" s="458" t="str">
        <f>IF(G8="","",INDEX(DIFFERENTIATION_UNMERGE_AREA,MATCH(G8,DIFFERENTIATION_ID_DIFF,0)))</f>
        <v/>
      </c>
      <c r="H10" s="458" t="str">
        <f>IF(H8="","",INDEX(DIFFERENTIATION_UNMERGE_AREA,MATCH(H8,DIFFERENTIATION_ID_DIFF,0)))</f>
        <v>Территория 1</v>
      </c>
      <c r="I10" s="458" t="str">
        <f>IF(I8="","",INDEX(DIFFERENTIATION_UNMERGE_AREA,MATCH(I8,DIFFERENTIATION_ID_DIFF,0)))</f>
        <v>Территория 1</v>
      </c>
      <c r="J10" s="1146"/>
      <c r="S10" s="300"/>
    </row>
    <row r="11" spans="1:19" s="12" customFormat="1" ht="15" customHeight="1">
      <c r="A11" s="9"/>
      <c r="C11" s="86"/>
      <c r="D11" s="400"/>
      <c r="E11" s="1347" t="s">
        <v>564</v>
      </c>
      <c r="F11" s="1348"/>
      <c r="G11" s="458" t="str">
        <f>IF(G8="","",INDEX(DIFFERENTIATION_UNMERGE_SYSTEM,MATCH(G8,DIFFERENTIATION_ID_DIFF,0)))</f>
        <v/>
      </c>
      <c r="H11" s="458" t="str">
        <f>IF(H8="","",INDEX(DIFFERENTIATION_UNMERGE_SYSTEM,MATCH(H8,DIFFERENTIATION_ID_DIFF,0)))</f>
        <v>система теплоснабжения г. Кировск</v>
      </c>
      <c r="I11" s="458" t="str">
        <f>IF(I8="","",INDEX(DIFFERENTIATION_UNMERGE_SYSTEM,MATCH(I8,DIFFERENTIATION_ID_DIFF,0)))</f>
        <v>система теплоснабжения н.п. Титан</v>
      </c>
      <c r="J11" s="1146"/>
      <c r="S11" s="300"/>
    </row>
    <row r="12" spans="1:19" s="12" customFormat="1" ht="15" customHeight="1">
      <c r="A12" s="9"/>
      <c r="C12" s="86"/>
      <c r="D12" s="1349" t="s">
        <v>299</v>
      </c>
      <c r="E12" s="1350"/>
      <c r="F12" s="1350"/>
      <c r="G12" s="503"/>
      <c r="H12" s="503"/>
      <c r="I12" s="503"/>
      <c r="J12" s="1146"/>
      <c r="S12" s="300"/>
    </row>
    <row r="13" spans="1:19" ht="33.75" customHeight="1">
      <c r="D13" s="42" t="s">
        <v>84</v>
      </c>
      <c r="E13" s="42" t="s">
        <v>301</v>
      </c>
      <c r="F13" s="42" t="s">
        <v>565</v>
      </c>
      <c r="G13" s="380" t="s">
        <v>302</v>
      </c>
      <c r="H13" s="380" t="s">
        <v>302</v>
      </c>
      <c r="I13" s="380" t="s">
        <v>302</v>
      </c>
      <c r="J13" s="1146"/>
    </row>
    <row r="14" spans="1:19" ht="15" hidden="1" customHeight="1">
      <c r="D14" s="336" t="s">
        <v>105</v>
      </c>
      <c r="E14" s="336" t="s">
        <v>106</v>
      </c>
      <c r="F14" s="336" t="s">
        <v>86</v>
      </c>
      <c r="G14" s="86" t="str">
        <f>G1&amp;".1"</f>
        <v>.1</v>
      </c>
      <c r="H14" s="86" t="str">
        <f>H1&amp;".1"</f>
        <v>4.1</v>
      </c>
      <c r="I14" s="86" t="str">
        <f>I1&amp;".1"</f>
        <v>.1</v>
      </c>
      <c r="J14" s="67"/>
    </row>
    <row r="15" spans="1:19" ht="15" customHeight="1">
      <c r="A15" s="12"/>
      <c r="C15" s="76"/>
      <c r="D15" s="42">
        <v>1</v>
      </c>
      <c r="E15" s="150" t="str">
        <f>TP_P_A</f>
        <v>Количество поданных заявок</v>
      </c>
      <c r="F15" s="42" t="s">
        <v>1091</v>
      </c>
      <c r="G15" s="381"/>
      <c r="H15" s="381"/>
      <c r="I15" s="381"/>
      <c r="J15" s="1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9" ht="15" customHeight="1">
      <c r="A16" s="12"/>
      <c r="C16" s="76"/>
      <c r="D16" s="42">
        <v>2</v>
      </c>
      <c r="E16" s="150" t="str">
        <f>TP_P_B</f>
        <v>Количество рассмотренных заявок</v>
      </c>
      <c r="F16" s="42" t="s">
        <v>1091</v>
      </c>
      <c r="G16" s="381"/>
      <c r="H16" s="381"/>
      <c r="I16" s="381"/>
      <c r="J16" s="1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9" ht="73.5" customHeight="1">
      <c r="A17" s="12"/>
      <c r="C17" s="76"/>
      <c r="D17" s="42">
        <v>3</v>
      </c>
      <c r="E17" s="15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2" t="s">
        <v>1091</v>
      </c>
      <c r="G17" s="381"/>
      <c r="H17" s="381"/>
      <c r="I17" s="381"/>
      <c r="J17" s="112" t="str">
        <f>TP_P_NOTE_V</f>
        <v>Указывается количество заявок с решением об отказе в течение отчетного квартала.</v>
      </c>
    </row>
    <row r="18" spans="1:19" ht="52.5" customHeight="1">
      <c r="A18" s="12"/>
      <c r="C18" s="76"/>
      <c r="D18" s="42">
        <v>4</v>
      </c>
      <c r="E18" s="150" t="str">
        <f>TP_P_V_1</f>
        <v>Причины отказа в заключении договора о подключении (технологическом присоединении) к системе теплоснабжения</v>
      </c>
      <c r="F18" s="42" t="s">
        <v>305</v>
      </c>
      <c r="G18" s="382"/>
      <c r="H18" s="382"/>
      <c r="I18" s="382"/>
      <c r="J18" s="15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9" ht="57" customHeight="1">
      <c r="A19" s="12"/>
      <c r="C19" s="76"/>
      <c r="D19" s="42">
        <v>5</v>
      </c>
      <c r="E19" s="150" t="str">
        <f>TP_P_G</f>
        <v>Резерв мощности источников тепловой энергии, входящих в систему теплоснабжения, в течение одного квартала, в том числе:</v>
      </c>
      <c r="F19" s="42" t="str">
        <f>IF(TEMPLATE_SPHERE="HEAT","Гкал/час","тыс. куб. м/сутки")</f>
        <v>Гкал/час</v>
      </c>
      <c r="G19" s="383">
        <f>SUM(G20:G22)</f>
        <v>0</v>
      </c>
      <c r="H19" s="383">
        <f>SUM(H20:H22)</f>
        <v>0</v>
      </c>
      <c r="I19" s="383">
        <f>SUM(I20:I22)</f>
        <v>0</v>
      </c>
      <c r="J19" s="112"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9" ht="15" hidden="1" customHeight="1">
      <c r="D20" s="12" t="s">
        <v>1092</v>
      </c>
      <c r="E20" s="334"/>
      <c r="J20" s="960"/>
    </row>
    <row r="21" spans="1:19" ht="27.75" customHeight="1">
      <c r="C21" s="76"/>
      <c r="D21" s="44" t="s">
        <v>312</v>
      </c>
      <c r="E21" s="117"/>
      <c r="F21" s="42" t="str">
        <f>IF(TEMPLATE_SPHERE="HEAT","Гкал/час","тыс. куб. м/сутки")</f>
        <v>Гкал/час</v>
      </c>
      <c r="G21" s="377"/>
      <c r="H21" s="377"/>
      <c r="I21" s="377"/>
      <c r="J21" s="118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9" ht="15" customHeight="1">
      <c r="A22" s="12"/>
      <c r="C22" s="12"/>
      <c r="D22" s="41"/>
      <c r="E22" s="108" t="s">
        <v>1093</v>
      </c>
      <c r="F22" s="326"/>
      <c r="G22" s="326"/>
      <c r="H22" s="326"/>
      <c r="I22" s="326"/>
      <c r="J22" s="1189"/>
      <c r="S22" s="12"/>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xr:uid="{00000000-0002-0000-2A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I17" xr:uid="{00000000-0002-0000-2A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xr:uid="{00000000-0002-0000-2A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A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8F0D3-4079-4955-02B2-6907423B5C0F}">
  <sheetPr>
    <tabColor theme="6" tint="0.39997558519241921"/>
    <pageSetUpPr fitToPage="1"/>
  </sheetPr>
  <dimension ref="A1:P29"/>
  <sheetViews>
    <sheetView showGridLines="0" topLeftCell="C4" zoomScale="90" workbookViewId="0"/>
  </sheetViews>
  <sheetFormatPr defaultColWidth="10.5703125" defaultRowHeight="14.25" customHeight="1"/>
  <cols>
    <col min="1" max="1" width="9.140625" style="34" hidden="1" customWidth="1"/>
    <col min="2" max="2" width="9.140625" style="63" hidden="1" customWidth="1"/>
    <col min="3" max="3" width="3.7109375" style="30" customWidth="1"/>
    <col min="4" max="4" width="6.28515625" style="12" customWidth="1"/>
    <col min="5" max="6" width="64.140625" style="12" customWidth="1"/>
    <col min="7" max="7" width="141.140625" style="12" customWidth="1"/>
    <col min="8" max="8" width="10.5703125" style="12"/>
    <col min="9" max="10" width="10.5703125" style="69"/>
    <col min="11" max="16" width="10.5703125" style="12"/>
  </cols>
  <sheetData>
    <row r="1" spans="1:16" ht="14.25" hidden="1" customHeight="1">
      <c r="M1" s="148"/>
      <c r="N1" s="148"/>
      <c r="P1" s="148"/>
    </row>
    <row r="2" spans="1:16" ht="14.25" hidden="1" customHeight="1"/>
    <row r="3" spans="1:16" ht="14.25" hidden="1" customHeight="1"/>
    <row r="4" spans="1:16" ht="3" customHeight="1">
      <c r="C4" s="29"/>
      <c r="D4" s="11"/>
      <c r="E4" s="11"/>
      <c r="F4" s="21"/>
      <c r="G4" s="21"/>
    </row>
    <row r="5" spans="1:16" ht="27.75" customHeight="1">
      <c r="C5" s="29"/>
      <c r="D5" s="117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176"/>
      <c r="F5" s="1176"/>
      <c r="G5" s="1177"/>
    </row>
    <row r="6" spans="1:16" s="12" customFormat="1" ht="18" customHeight="1">
      <c r="A6" s="34"/>
      <c r="B6" s="63"/>
      <c r="C6" s="29"/>
      <c r="D6" s="1229" t="str">
        <f>IF(org=0,"Не определено",org)</f>
        <v>АО "ХТК"</v>
      </c>
      <c r="E6" s="1230"/>
      <c r="F6" s="1230"/>
      <c r="G6" s="1231"/>
      <c r="I6" s="69"/>
      <c r="J6" s="69"/>
    </row>
    <row r="7" spans="1:16" ht="14.25" customHeight="1">
      <c r="C7" s="29"/>
      <c r="D7" s="11"/>
      <c r="E7" s="15"/>
      <c r="F7" s="426"/>
      <c r="G7" s="99"/>
    </row>
    <row r="8" spans="1:16" s="12" customFormat="1" ht="0.75" customHeight="1">
      <c r="A8" s="34"/>
      <c r="B8" s="63"/>
      <c r="C8" s="29"/>
      <c r="D8" s="11"/>
      <c r="E8" s="15"/>
      <c r="F8" s="426"/>
      <c r="G8" s="99"/>
      <c r="I8" s="69"/>
      <c r="J8" s="69"/>
    </row>
    <row r="9" spans="1:16" ht="14.25" customHeight="1">
      <c r="C9" s="29"/>
      <c r="D9" s="1224" t="s">
        <v>299</v>
      </c>
      <c r="E9" s="1224"/>
      <c r="F9" s="1224"/>
      <c r="G9" s="1457" t="s">
        <v>300</v>
      </c>
    </row>
    <row r="10" spans="1:16" ht="14.25" customHeight="1">
      <c r="C10" s="29"/>
      <c r="D10" s="37" t="s">
        <v>84</v>
      </c>
      <c r="E10" s="40" t="s">
        <v>301</v>
      </c>
      <c r="F10" s="40" t="s">
        <v>389</v>
      </c>
      <c r="G10" s="1457"/>
    </row>
    <row r="11" spans="1:16" ht="12" hidden="1" customHeight="1">
      <c r="C11" s="29"/>
      <c r="D11" s="23"/>
      <c r="E11" s="23"/>
      <c r="F11" s="23"/>
      <c r="G11" s="23"/>
    </row>
    <row r="12" spans="1:16" ht="62.25" customHeight="1">
      <c r="A12" s="35"/>
      <c r="C12" s="29"/>
      <c r="D12" s="64">
        <v>1</v>
      </c>
      <c r="E12" s="10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0" t="s">
        <v>305</v>
      </c>
      <c r="G12" s="67"/>
    </row>
    <row r="13" spans="1:16" ht="22.5" customHeight="1">
      <c r="A13" s="35"/>
      <c r="C13" s="29"/>
      <c r="D13" s="64" t="s">
        <v>995</v>
      </c>
      <c r="E13" s="10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0" t="s">
        <v>305</v>
      </c>
      <c r="G13" s="67"/>
    </row>
    <row r="14" spans="1:16" ht="14.25" customHeight="1">
      <c r="A14" s="35"/>
      <c r="C14" s="29"/>
      <c r="D14" s="64" t="s">
        <v>1031</v>
      </c>
      <c r="E14" s="101"/>
      <c r="F14" s="115"/>
      <c r="G14" s="11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35"/>
      <c r="C15" s="29"/>
      <c r="D15" s="41"/>
      <c r="E15" s="109" t="s">
        <v>1094</v>
      </c>
      <c r="F15" s="106"/>
      <c r="G15" s="1189"/>
    </row>
    <row r="16" spans="1:16" ht="14.25" customHeight="1">
      <c r="A16" s="35"/>
      <c r="C16" s="29"/>
      <c r="D16" s="64" t="s">
        <v>997</v>
      </c>
      <c r="E16" s="1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0" t="s">
        <v>305</v>
      </c>
      <c r="G16" s="170"/>
    </row>
    <row r="17" spans="1:16" ht="14.25" customHeight="1">
      <c r="A17" s="35"/>
      <c r="C17" s="29"/>
      <c r="D17" s="64" t="s">
        <v>1039</v>
      </c>
      <c r="E17" s="101"/>
      <c r="F17" s="218"/>
      <c r="G17" s="11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2" customFormat="1" ht="21" customHeight="1">
      <c r="A18" s="35"/>
      <c r="B18" s="63"/>
      <c r="C18" s="29"/>
      <c r="D18" s="41"/>
      <c r="E18" s="109" t="s">
        <v>1095</v>
      </c>
      <c r="F18" s="52"/>
      <c r="G18" s="1189"/>
      <c r="I18" s="69"/>
      <c r="J18" s="69"/>
    </row>
    <row r="19" spans="1:16" s="12" customFormat="1" ht="256.5" hidden="1" customHeight="1">
      <c r="A19" s="35"/>
      <c r="B19" s="63"/>
      <c r="C19" s="29"/>
      <c r="D19" s="64" t="s">
        <v>999</v>
      </c>
      <c r="E19" s="100" t="s">
        <v>1096</v>
      </c>
      <c r="F19" s="218"/>
      <c r="G19" s="170" t="s">
        <v>1097</v>
      </c>
      <c r="I19" s="69"/>
      <c r="J19" s="69"/>
    </row>
    <row r="20" spans="1:16" s="12" customFormat="1" ht="14.25" customHeight="1">
      <c r="A20" s="35"/>
      <c r="B20" s="63"/>
      <c r="C20" s="29"/>
      <c r="D20" s="250">
        <v>2</v>
      </c>
      <c r="E20" s="100" t="s">
        <v>1098</v>
      </c>
      <c r="F20" s="40" t="s">
        <v>305</v>
      </c>
      <c r="G20" s="170"/>
      <c r="I20" s="69"/>
      <c r="J20" s="69"/>
    </row>
    <row r="21" spans="1:16" s="12" customFormat="1" ht="18.75" hidden="1" customHeight="1">
      <c r="A21" s="35"/>
      <c r="B21" s="63"/>
      <c r="C21" s="29"/>
      <c r="D21" s="193" t="s">
        <v>872</v>
      </c>
      <c r="E21" s="192"/>
      <c r="F21" s="191"/>
      <c r="G21" s="199"/>
      <c r="H21" s="194"/>
      <c r="I21" s="69"/>
      <c r="J21" s="69"/>
    </row>
    <row r="22" spans="1:16" ht="15" customHeight="1">
      <c r="A22" s="35"/>
      <c r="C22" s="29"/>
      <c r="D22" s="41"/>
      <c r="E22" s="108" t="s">
        <v>321</v>
      </c>
      <c r="F22" s="52"/>
      <c r="G22" s="197"/>
    </row>
    <row r="23" spans="1:16" s="12" customFormat="1" ht="22.5" hidden="1" customHeight="1">
      <c r="A23" s="35"/>
      <c r="B23" s="63"/>
      <c r="C23" s="29"/>
      <c r="D23" s="64" t="s">
        <v>106</v>
      </c>
      <c r="E23" s="103" t="s">
        <v>1099</v>
      </c>
      <c r="F23" s="40" t="s">
        <v>305</v>
      </c>
      <c r="G23" s="67"/>
      <c r="I23" s="69"/>
      <c r="J23" s="69"/>
    </row>
    <row r="24" spans="1:16" s="12" customFormat="1" ht="14.25" hidden="1" customHeight="1">
      <c r="A24" s="35"/>
      <c r="B24" s="63"/>
      <c r="C24" s="29"/>
      <c r="D24" s="64" t="s">
        <v>623</v>
      </c>
      <c r="E24" s="100" t="s">
        <v>1100</v>
      </c>
      <c r="F24" s="40" t="s">
        <v>305</v>
      </c>
      <c r="G24" s="170"/>
      <c r="I24" s="69"/>
      <c r="J24" s="69"/>
    </row>
    <row r="25" spans="1:16" s="12" customFormat="1" ht="14.25" hidden="1" customHeight="1">
      <c r="A25" s="35"/>
      <c r="B25" s="63"/>
      <c r="C25" s="29"/>
      <c r="D25" s="64" t="s">
        <v>626</v>
      </c>
      <c r="E25" s="101"/>
      <c r="F25" s="218"/>
      <c r="G25" s="1187" t="s">
        <v>1101</v>
      </c>
      <c r="I25" s="69"/>
      <c r="J25" s="69"/>
    </row>
    <row r="26" spans="1:16" s="12" customFormat="1" ht="22.5" hidden="1" customHeight="1">
      <c r="A26" s="35"/>
      <c r="B26" s="63"/>
      <c r="C26" s="29"/>
      <c r="D26" s="41"/>
      <c r="E26" s="109" t="s">
        <v>1102</v>
      </c>
      <c r="F26" s="52"/>
      <c r="G26" s="1189"/>
      <c r="I26" s="69"/>
      <c r="J26" s="69"/>
    </row>
    <row r="27" spans="1:16" ht="3" customHeight="1"/>
    <row r="28" spans="1:16" ht="14.25" customHeight="1">
      <c r="D28" s="196"/>
      <c r="E28" s="195"/>
      <c r="F28" s="5"/>
      <c r="G28" s="5"/>
      <c r="H28" s="5"/>
      <c r="I28" s="5"/>
      <c r="J28" s="5"/>
      <c r="K28" s="5"/>
      <c r="L28" s="5"/>
      <c r="M28" s="5"/>
      <c r="N28" s="5"/>
      <c r="O28" s="5"/>
      <c r="P28" s="5"/>
    </row>
    <row r="29" spans="1:16" ht="14.25" customHeight="1">
      <c r="D29" s="196"/>
      <c r="E29" s="18"/>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B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945C3-F638-7FAF-3AD8-4BE53BF82D84}">
  <sheetPr>
    <tabColor theme="6" tint="0.39997558519241921"/>
  </sheetPr>
  <dimension ref="A1:L42"/>
  <sheetViews>
    <sheetView showGridLines="0" topLeftCell="C13" zoomScale="90" workbookViewId="0"/>
  </sheetViews>
  <sheetFormatPr defaultColWidth="10.5703125" defaultRowHeight="14.25" customHeight="1"/>
  <cols>
    <col min="1" max="1" width="9.140625" style="497" hidden="1" customWidth="1"/>
    <col min="2" max="2" width="9.140625" style="63" hidden="1" customWidth="1"/>
    <col min="3" max="3" width="3.7109375" style="30" customWidth="1"/>
    <col min="4" max="4" width="6.28515625" style="12" customWidth="1"/>
    <col min="5" max="5" width="63.42578125" style="12" customWidth="1"/>
    <col min="6" max="6" width="1.7109375" style="12" hidden="1" customWidth="1"/>
    <col min="7" max="8" width="35.7109375" style="12" customWidth="1"/>
    <col min="9" max="9" width="91.5703125" style="12" customWidth="1"/>
    <col min="10" max="10" width="68.85546875" style="12" customWidth="1"/>
    <col min="11" max="12" width="10.5703125" style="69"/>
  </cols>
  <sheetData>
    <row r="1" spans="1:12" ht="14.25" hidden="1" customHeight="1"/>
    <row r="2" spans="1:12" s="12" customFormat="1" ht="18.75" hidden="1" customHeight="1">
      <c r="A2" s="62"/>
      <c r="B2" s="63"/>
      <c r="C2" s="929" t="s">
        <v>117</v>
      </c>
      <c r="D2" s="64"/>
      <c r="E2" s="104"/>
      <c r="F2" s="40"/>
      <c r="G2" s="40" t="s">
        <v>305</v>
      </c>
      <c r="H2" s="115"/>
      <c r="K2" s="69"/>
      <c r="L2" s="69"/>
    </row>
    <row r="3" spans="1:12" s="12" customFormat="1" ht="14.25" hidden="1" customHeight="1">
      <c r="A3" s="497"/>
      <c r="B3" s="63"/>
      <c r="C3" s="30"/>
      <c r="K3" s="69"/>
      <c r="L3" s="69"/>
    </row>
    <row r="4" spans="1:12" s="12" customFormat="1" ht="18.75" hidden="1" customHeight="1">
      <c r="A4" s="62"/>
      <c r="B4" s="63"/>
      <c r="C4" s="929" t="s">
        <v>117</v>
      </c>
      <c r="D4" s="64"/>
      <c r="E4" s="100" t="s">
        <v>1103</v>
      </c>
      <c r="F4" s="40"/>
      <c r="G4" s="149"/>
      <c r="H4" s="40" t="s">
        <v>305</v>
      </c>
      <c r="K4" s="69"/>
      <c r="L4" s="69"/>
    </row>
    <row r="5" spans="1:12" s="12" customFormat="1" ht="14.25" hidden="1" customHeight="1">
      <c r="A5" s="497"/>
      <c r="B5" s="63"/>
      <c r="C5" s="30"/>
      <c r="K5" s="69"/>
      <c r="L5" s="69"/>
    </row>
    <row r="6" spans="1:12" s="12" customFormat="1" ht="18.75" hidden="1" customHeight="1">
      <c r="A6" s="62"/>
      <c r="B6" s="63"/>
      <c r="C6" s="929" t="s">
        <v>117</v>
      </c>
      <c r="D6" s="64"/>
      <c r="E6" s="110" t="s">
        <v>1104</v>
      </c>
      <c r="F6" s="40"/>
      <c r="G6" s="149"/>
      <c r="H6" s="40" t="s">
        <v>305</v>
      </c>
      <c r="K6" s="69"/>
      <c r="L6" s="69"/>
    </row>
    <row r="7" spans="1:12" s="12" customFormat="1" ht="14.25" hidden="1" customHeight="1">
      <c r="A7" s="497"/>
      <c r="B7" s="63"/>
      <c r="C7" s="30"/>
      <c r="K7" s="69"/>
      <c r="L7" s="69"/>
    </row>
    <row r="8" spans="1:12" s="12" customFormat="1" ht="18.75" hidden="1" customHeight="1">
      <c r="A8" s="62"/>
      <c r="B8" s="63"/>
      <c r="C8" s="929" t="s">
        <v>117</v>
      </c>
      <c r="D8" s="64"/>
      <c r="E8" s="110" t="s">
        <v>1105</v>
      </c>
      <c r="F8" s="40"/>
      <c r="G8" s="149"/>
      <c r="H8" s="40" t="s">
        <v>305</v>
      </c>
      <c r="K8" s="69"/>
      <c r="L8" s="69"/>
    </row>
    <row r="9" spans="1:12" s="12" customFormat="1" ht="14.25" hidden="1" customHeight="1">
      <c r="A9" s="497"/>
      <c r="B9" s="63"/>
      <c r="C9" s="30"/>
      <c r="K9" s="69"/>
      <c r="L9" s="69"/>
    </row>
    <row r="10" spans="1:12" s="12" customFormat="1" ht="18.75" hidden="1" customHeight="1">
      <c r="A10" s="62"/>
      <c r="B10" s="63"/>
      <c r="C10" s="929" t="s">
        <v>117</v>
      </c>
      <c r="D10" s="64"/>
      <c r="E10" s="110" t="s">
        <v>1106</v>
      </c>
      <c r="F10" s="40"/>
      <c r="G10" s="111"/>
      <c r="H10" s="40" t="s">
        <v>305</v>
      </c>
      <c r="K10" s="69"/>
      <c r="L10" s="69" t="s">
        <v>1107</v>
      </c>
    </row>
    <row r="11" spans="1:12" ht="14.25" hidden="1" customHeight="1"/>
    <row r="12" spans="1:12" ht="14.25" hidden="1" customHeight="1"/>
    <row r="13" spans="1:12" ht="14.25" customHeight="1">
      <c r="C13" s="29"/>
      <c r="D13" s="11"/>
      <c r="E13" s="11"/>
      <c r="F13" s="11"/>
      <c r="G13" s="11"/>
      <c r="H13" s="21"/>
      <c r="I13" s="21"/>
    </row>
    <row r="14" spans="1:12" ht="27.75" customHeight="1">
      <c r="C14" s="29"/>
      <c r="D14" s="117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176"/>
      <c r="F14" s="1176"/>
      <c r="G14" s="1176"/>
      <c r="H14" s="1177"/>
    </row>
    <row r="15" spans="1:12" s="12" customFormat="1" ht="14.25" customHeight="1">
      <c r="A15" s="497"/>
      <c r="B15" s="63"/>
      <c r="C15" s="29"/>
      <c r="D15" s="1229" t="str">
        <f>IF(org=0,"Не определено",org)</f>
        <v>АО "ХТК"</v>
      </c>
      <c r="E15" s="1230"/>
      <c r="F15" s="1230"/>
      <c r="G15" s="1230"/>
      <c r="H15" s="1231"/>
      <c r="J15" s="480"/>
      <c r="K15" s="69"/>
      <c r="L15" s="69"/>
    </row>
    <row r="16" spans="1:12" ht="14.25" customHeight="1">
      <c r="C16" s="29"/>
      <c r="D16" s="11"/>
      <c r="E16" s="15"/>
      <c r="F16" s="15"/>
      <c r="G16" s="15"/>
      <c r="H16" s="426"/>
      <c r="I16" s="99"/>
    </row>
    <row r="17" spans="1:12" s="12" customFormat="1" ht="14.25" hidden="1" customHeight="1">
      <c r="A17" s="497"/>
      <c r="B17" s="63"/>
      <c r="C17" s="29"/>
      <c r="D17" s="11"/>
      <c r="E17" s="15"/>
      <c r="F17" s="15"/>
      <c r="G17" s="15"/>
      <c r="H17" s="426"/>
      <c r="I17" s="99"/>
      <c r="K17" s="69"/>
      <c r="L17" s="69"/>
    </row>
    <row r="18" spans="1:12" ht="21" customHeight="1">
      <c r="C18" s="29"/>
      <c r="D18" s="1224" t="s">
        <v>299</v>
      </c>
      <c r="E18" s="1224"/>
      <c r="F18" s="1224"/>
      <c r="G18" s="1224"/>
      <c r="H18" s="1224"/>
      <c r="I18" s="1457" t="s">
        <v>300</v>
      </c>
    </row>
    <row r="19" spans="1:12" ht="21" customHeight="1">
      <c r="C19" s="29"/>
      <c r="D19" s="37" t="s">
        <v>84</v>
      </c>
      <c r="E19" s="40" t="s">
        <v>301</v>
      </c>
      <c r="F19" s="40"/>
      <c r="G19" s="40" t="s">
        <v>302</v>
      </c>
      <c r="H19" s="40" t="s">
        <v>389</v>
      </c>
      <c r="I19" s="1457"/>
    </row>
    <row r="20" spans="1:12" ht="12" hidden="1" customHeight="1">
      <c r="C20" s="29"/>
      <c r="D20" s="23"/>
      <c r="E20" s="23"/>
      <c r="F20" s="23"/>
      <c r="G20" s="23"/>
      <c r="H20" s="23"/>
      <c r="I20" s="23"/>
    </row>
    <row r="21" spans="1:12" ht="14.25" customHeight="1">
      <c r="A21" s="62"/>
      <c r="C21" s="29"/>
      <c r="D21" s="64">
        <v>1</v>
      </c>
      <c r="E21" s="1458" t="s">
        <v>1108</v>
      </c>
      <c r="F21" s="1458"/>
      <c r="G21" s="1458"/>
      <c r="H21" s="1458"/>
      <c r="I21" s="112"/>
    </row>
    <row r="22" spans="1:12" ht="20.25" customHeight="1">
      <c r="A22" s="62"/>
      <c r="C22" s="29"/>
      <c r="D22" s="64" t="s">
        <v>995</v>
      </c>
      <c r="E22" s="100" t="s">
        <v>1109</v>
      </c>
      <c r="F22" s="40"/>
      <c r="G22" s="936"/>
      <c r="H22" s="40" t="s">
        <v>305</v>
      </c>
      <c r="I22" s="67" t="s">
        <v>1110</v>
      </c>
    </row>
    <row r="23" spans="1:12" ht="45" customHeight="1">
      <c r="A23" s="62"/>
      <c r="C23" s="29"/>
      <c r="D23" s="64" t="s">
        <v>997</v>
      </c>
      <c r="E23" s="100" t="s">
        <v>1111</v>
      </c>
      <c r="F23" s="40"/>
      <c r="G23" s="149"/>
      <c r="H23" s="115"/>
      <c r="I23" s="150" t="s">
        <v>1112</v>
      </c>
    </row>
    <row r="24" spans="1:12" ht="14.25" customHeight="1">
      <c r="A24" s="62"/>
      <c r="B24" s="63">
        <v>3</v>
      </c>
      <c r="C24" s="29"/>
      <c r="D24" s="64">
        <v>2</v>
      </c>
      <c r="E24" s="12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0"/>
      <c r="G24" s="40" t="s">
        <v>305</v>
      </c>
      <c r="H24" s="115"/>
      <c r="I24" s="151" t="s">
        <v>809</v>
      </c>
    </row>
    <row r="25" spans="1:12" ht="46.5" customHeight="1">
      <c r="A25" s="62"/>
      <c r="C25" s="29"/>
      <c r="D25" s="64">
        <v>3</v>
      </c>
      <c r="E25" s="145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458"/>
      <c r="G25" s="1458"/>
      <c r="H25" s="1458"/>
      <c r="I25" s="112"/>
    </row>
    <row r="26" spans="1:12" ht="14.25" customHeight="1">
      <c r="A26" s="62"/>
      <c r="C26" s="29"/>
      <c r="D26" s="64" t="s">
        <v>323</v>
      </c>
      <c r="E26" s="104"/>
      <c r="F26" s="40"/>
      <c r="G26" s="40" t="s">
        <v>305</v>
      </c>
      <c r="H26" s="115"/>
      <c r="I26" s="1187" t="s">
        <v>1113</v>
      </c>
    </row>
    <row r="27" spans="1:12" ht="15" customHeight="1">
      <c r="A27" s="62" t="s">
        <v>105</v>
      </c>
      <c r="C27" s="29"/>
      <c r="D27" s="41"/>
      <c r="E27" s="108" t="s">
        <v>321</v>
      </c>
      <c r="F27" s="109"/>
      <c r="G27" s="109"/>
      <c r="H27" s="106"/>
      <c r="I27" s="1189"/>
    </row>
    <row r="28" spans="1:12" ht="38.25" customHeight="1">
      <c r="A28" s="62"/>
      <c r="B28" s="63">
        <v>3</v>
      </c>
      <c r="C28" s="29"/>
      <c r="D28" s="64">
        <v>4</v>
      </c>
      <c r="E28" s="145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1458"/>
      <c r="G28" s="1458"/>
      <c r="H28" s="1458"/>
      <c r="I28" s="112"/>
    </row>
    <row r="29" spans="1:12" ht="20.25" customHeight="1">
      <c r="A29" s="62"/>
      <c r="C29" s="29"/>
      <c r="D29" s="64" t="s">
        <v>668</v>
      </c>
      <c r="E29" s="100" t="s">
        <v>1103</v>
      </c>
      <c r="F29" s="40"/>
      <c r="G29" s="149"/>
      <c r="H29" s="40" t="s">
        <v>305</v>
      </c>
      <c r="I29" s="1187" t="s">
        <v>1114</v>
      </c>
    </row>
    <row r="30" spans="1:12" ht="15" customHeight="1">
      <c r="A30" s="62" t="s">
        <v>106</v>
      </c>
      <c r="C30" s="29"/>
      <c r="D30" s="41"/>
      <c r="E30" s="108" t="s">
        <v>321</v>
      </c>
      <c r="F30" s="109"/>
      <c r="G30" s="109"/>
      <c r="H30" s="106"/>
      <c r="I30" s="1189"/>
    </row>
    <row r="31" spans="1:12" ht="30" customHeight="1">
      <c r="A31" s="62"/>
      <c r="B31" s="63">
        <v>3</v>
      </c>
      <c r="C31" s="29"/>
      <c r="D31" s="64">
        <v>5</v>
      </c>
      <c r="E31" s="145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1458"/>
      <c r="G31" s="1458"/>
      <c r="H31" s="1458"/>
      <c r="I31" s="112"/>
    </row>
    <row r="32" spans="1:12" ht="26.25" customHeight="1">
      <c r="A32" s="62"/>
      <c r="C32" s="29"/>
      <c r="D32" s="64" t="s">
        <v>312</v>
      </c>
      <c r="E32" s="13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1376"/>
      <c r="G32" s="1376"/>
      <c r="H32" s="1376"/>
      <c r="I32" s="112"/>
    </row>
    <row r="33" spans="1:12" ht="14.25" customHeight="1">
      <c r="A33" s="62"/>
      <c r="C33" s="29"/>
      <c r="D33" s="64" t="s">
        <v>1115</v>
      </c>
      <c r="E33" s="110" t="s">
        <v>1104</v>
      </c>
      <c r="F33" s="40"/>
      <c r="G33" s="149"/>
      <c r="H33" s="40" t="s">
        <v>305</v>
      </c>
      <c r="I33" s="1187" t="s">
        <v>1116</v>
      </c>
    </row>
    <row r="34" spans="1:12" ht="15" customHeight="1">
      <c r="A34" s="62" t="s">
        <v>86</v>
      </c>
      <c r="C34" s="29"/>
      <c r="D34" s="41"/>
      <c r="E34" s="109" t="s">
        <v>321</v>
      </c>
      <c r="F34" s="105"/>
      <c r="G34" s="105"/>
      <c r="H34" s="106"/>
      <c r="I34" s="1189"/>
    </row>
    <row r="35" spans="1:12" ht="24" customHeight="1">
      <c r="A35" s="62"/>
      <c r="C35" s="29"/>
      <c r="D35" s="64" t="s">
        <v>799</v>
      </c>
      <c r="E35" s="13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1376"/>
      <c r="G35" s="1376"/>
      <c r="H35" s="1376"/>
      <c r="I35" s="112"/>
    </row>
    <row r="36" spans="1:12" ht="14.25" customHeight="1">
      <c r="A36" s="62"/>
      <c r="C36" s="29"/>
      <c r="D36" s="64" t="s">
        <v>1117</v>
      </c>
      <c r="E36" s="110" t="s">
        <v>1105</v>
      </c>
      <c r="F36" s="40"/>
      <c r="G36" s="149"/>
      <c r="H36" s="40" t="s">
        <v>305</v>
      </c>
      <c r="I36" s="1161" t="s">
        <v>1118</v>
      </c>
    </row>
    <row r="37" spans="1:12" ht="15" customHeight="1">
      <c r="A37" s="62" t="s">
        <v>87</v>
      </c>
      <c r="C37" s="29"/>
      <c r="D37" s="41"/>
      <c r="E37" s="109" t="s">
        <v>321</v>
      </c>
      <c r="F37" s="105"/>
      <c r="G37" s="105"/>
      <c r="H37" s="106"/>
      <c r="I37" s="1161"/>
    </row>
    <row r="38" spans="1:12" ht="26.25" customHeight="1">
      <c r="A38" s="62"/>
      <c r="C38" s="29"/>
      <c r="D38" s="64" t="s">
        <v>800</v>
      </c>
      <c r="E38" s="13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1376"/>
      <c r="G38" s="1376"/>
      <c r="H38" s="1376"/>
      <c r="I38" s="112"/>
    </row>
    <row r="39" spans="1:12" ht="14.25" customHeight="1">
      <c r="A39" s="62"/>
      <c r="C39" s="29"/>
      <c r="D39" s="64" t="s">
        <v>801</v>
      </c>
      <c r="E39" s="110" t="s">
        <v>1106</v>
      </c>
      <c r="F39" s="40"/>
      <c r="G39" s="111"/>
      <c r="H39" s="40" t="s">
        <v>305</v>
      </c>
      <c r="I39" s="1187" t="s">
        <v>1119</v>
      </c>
      <c r="L39" s="69" t="s">
        <v>1107</v>
      </c>
    </row>
    <row r="40" spans="1:12" ht="15" customHeight="1">
      <c r="A40" s="62" t="s">
        <v>107</v>
      </c>
      <c r="C40" s="29"/>
      <c r="D40" s="41"/>
      <c r="E40" s="109" t="s">
        <v>321</v>
      </c>
      <c r="F40" s="105"/>
      <c r="G40" s="105"/>
      <c r="H40" s="106"/>
      <c r="I40" s="1189"/>
    </row>
    <row r="41" spans="1:12" s="35" customFormat="1" ht="3" customHeight="1">
      <c r="A41" s="62"/>
      <c r="K41" s="102"/>
      <c r="L41" s="102"/>
    </row>
    <row r="42" spans="1:12" ht="24.75" customHeight="1">
      <c r="D42" s="196" t="s">
        <v>719</v>
      </c>
      <c r="E42" s="1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285"/>
      <c r="G42" s="1285"/>
      <c r="H42" s="1285"/>
      <c r="I42" s="1285"/>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C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C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C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C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D480E-708A-43C4-668F-FACCE421DA54}">
  <sheetPr>
    <tabColor theme="6" tint="0.39997558519241921"/>
  </sheetPr>
  <dimension ref="A1:AG331"/>
  <sheetViews>
    <sheetView showGridLines="0" topLeftCell="D13" zoomScale="90" workbookViewId="0"/>
  </sheetViews>
  <sheetFormatPr defaultColWidth="10.5703125" defaultRowHeight="14.25" customHeight="1"/>
  <cols>
    <col min="1" max="2" width="25.140625" style="907" hidden="1" customWidth="1"/>
    <col min="3" max="3" width="9.140625" style="5" hidden="1" customWidth="1"/>
    <col min="4" max="4" width="3.7109375" style="30" customWidth="1"/>
    <col min="5" max="5" width="6.28515625" style="12" customWidth="1"/>
    <col min="6" max="6" width="46.7109375" style="12" customWidth="1"/>
    <col min="7" max="7" width="35.7109375" style="12" customWidth="1"/>
    <col min="8" max="8" width="3.7109375" style="12" customWidth="1"/>
    <col min="9" max="10" width="11.7109375" style="12" customWidth="1"/>
    <col min="11" max="12" width="35.7109375" style="12" customWidth="1"/>
    <col min="13" max="13" width="84.85546875" style="12" customWidth="1"/>
    <col min="14" max="14" width="10.5703125" style="12"/>
    <col min="15" max="16" width="10.5703125" style="69"/>
    <col min="17" max="33" width="10.5703125" style="12"/>
  </cols>
  <sheetData>
    <row r="1" spans="1:33" s="12" customFormat="1" ht="14.25" hidden="1" customHeight="1">
      <c r="A1" s="907"/>
      <c r="B1" s="907"/>
      <c r="C1" s="5"/>
      <c r="D1" s="30"/>
      <c r="N1" s="68">
        <f>IFERROR(MATCH("метод экономически обоснованных расходов (затрат)",OFFER_METHOD,0),0)</f>
        <v>0</v>
      </c>
      <c r="O1" s="69"/>
      <c r="P1" s="69"/>
      <c r="T1" s="79"/>
      <c r="AG1" s="148"/>
    </row>
    <row r="2" spans="1:33" s="12" customFormat="1" ht="18.75" hidden="1" customHeight="1">
      <c r="A2" s="35" t="s">
        <v>156</v>
      </c>
      <c r="B2" s="35" t="s">
        <v>157</v>
      </c>
      <c r="C2" s="5"/>
      <c r="D2" s="30"/>
      <c r="E2" s="595"/>
      <c r="F2" s="595"/>
      <c r="G2" s="1432" t="str">
        <f>INDEX(PT_DIFFERENTIATION_NTAR,MATCH(B2,PT_DIFFERENTIATION_NTAR_ID,0))</f>
        <v/>
      </c>
      <c r="H2" s="753"/>
      <c r="I2" s="938"/>
      <c r="J2" s="964"/>
      <c r="K2" s="999"/>
      <c r="L2" s="753" t="s">
        <v>305</v>
      </c>
      <c r="M2" s="1005"/>
      <c r="N2" s="194"/>
      <c r="O2" s="69"/>
      <c r="P2" s="69"/>
    </row>
    <row r="3" spans="1:33" s="12" customFormat="1" ht="18.75" hidden="1" customHeight="1">
      <c r="A3" s="35"/>
      <c r="B3" s="35"/>
      <c r="C3" s="5" t="s">
        <v>1120</v>
      </c>
      <c r="D3" s="30"/>
      <c r="E3" s="595"/>
      <c r="F3" s="595"/>
      <c r="G3" s="1432"/>
      <c r="H3" s="813"/>
      <c r="I3" s="53" t="s">
        <v>1121</v>
      </c>
      <c r="J3" s="109"/>
      <c r="K3" s="813"/>
      <c r="L3" s="106"/>
      <c r="M3" s="1005"/>
      <c r="N3" s="194"/>
      <c r="O3" s="69"/>
      <c r="P3" s="69"/>
    </row>
    <row r="4" spans="1:33" s="12" customFormat="1" ht="14.25" hidden="1" customHeight="1">
      <c r="A4" s="907"/>
      <c r="B4" s="907"/>
      <c r="C4" s="5"/>
      <c r="D4" s="30"/>
      <c r="N4" s="68">
        <f>IFERROR(MATCH("метод экономически обоснованных расходов (затрат)",OFFER_METHOD,0),0)</f>
        <v>0</v>
      </c>
      <c r="O4" s="69"/>
      <c r="P4" s="69"/>
      <c r="T4" s="79"/>
      <c r="AG4" s="148"/>
    </row>
    <row r="5" spans="1:33" s="12" customFormat="1" ht="18.75" hidden="1" customHeight="1">
      <c r="A5" s="35" t="s">
        <v>156</v>
      </c>
      <c r="B5" s="35" t="s">
        <v>157</v>
      </c>
      <c r="C5" s="5"/>
      <c r="D5" s="30"/>
      <c r="E5" s="595"/>
      <c r="F5" s="595"/>
      <c r="G5" s="1432" t="str">
        <f>INDEX(PT_DIFFERENTIATION_NTAR,MATCH(B5,PT_DIFFERENTIATION_NTAR_ID,0))</f>
        <v/>
      </c>
      <c r="H5" s="753"/>
      <c r="I5" s="938"/>
      <c r="J5" s="964"/>
      <c r="K5" s="357"/>
      <c r="L5" s="753" t="s">
        <v>305</v>
      </c>
      <c r="M5" s="1005"/>
      <c r="N5" s="194"/>
      <c r="O5" s="69"/>
      <c r="P5" s="69"/>
    </row>
    <row r="6" spans="1:33" s="12" customFormat="1" ht="18.75" hidden="1" customHeight="1">
      <c r="A6" s="35"/>
      <c r="B6" s="35"/>
      <c r="C6" s="5" t="s">
        <v>1122</v>
      </c>
      <c r="D6" s="30"/>
      <c r="E6" s="595"/>
      <c r="F6" s="595"/>
      <c r="G6" s="1432"/>
      <c r="H6" s="813"/>
      <c r="I6" s="53" t="s">
        <v>1121</v>
      </c>
      <c r="J6" s="109"/>
      <c r="K6" s="813"/>
      <c r="L6" s="106"/>
      <c r="M6" s="1005"/>
      <c r="N6" s="194"/>
      <c r="O6" s="69"/>
      <c r="P6" s="69"/>
    </row>
    <row r="7" spans="1:33" s="12" customFormat="1" ht="14.25" hidden="1" customHeight="1">
      <c r="A7" s="907"/>
      <c r="B7" s="907"/>
      <c r="C7" s="5"/>
      <c r="D7" s="30"/>
      <c r="N7" s="68">
        <f>IFERROR(MATCH("метод экономически обоснованных расходов (затрат)",OFFER_METHOD,0),0)</f>
        <v>0</v>
      </c>
      <c r="O7" s="69"/>
      <c r="P7" s="69"/>
      <c r="T7" s="79"/>
      <c r="AG7" s="148"/>
    </row>
    <row r="8" spans="1:33" s="12" customFormat="1" ht="56.25" hidden="1" customHeight="1">
      <c r="A8" s="35"/>
      <c r="B8" s="35"/>
      <c r="C8" s="5"/>
      <c r="D8" s="30"/>
      <c r="E8" s="595"/>
      <c r="F8" s="595"/>
      <c r="G8" s="595"/>
      <c r="H8" s="753"/>
      <c r="I8" s="938"/>
      <c r="J8" s="964"/>
      <c r="K8" s="999"/>
      <c r="L8" s="753" t="s">
        <v>305</v>
      </c>
      <c r="M8" s="1005"/>
      <c r="N8" s="194"/>
      <c r="O8" s="69"/>
      <c r="P8" s="69"/>
    </row>
    <row r="9" spans="1:33" ht="14.25" hidden="1" customHeight="1">
      <c r="T9" s="79"/>
      <c r="AG9" s="148"/>
    </row>
    <row r="10" spans="1:33" s="12" customFormat="1" ht="56.25" hidden="1" customHeight="1">
      <c r="A10" s="35"/>
      <c r="B10" s="35"/>
      <c r="C10" s="5"/>
      <c r="D10" s="30"/>
      <c r="E10" s="595"/>
      <c r="F10" s="595"/>
      <c r="G10" s="595"/>
      <c r="H10" s="40"/>
      <c r="I10" s="938"/>
      <c r="J10" s="964"/>
      <c r="K10" s="357"/>
      <c r="L10" s="753" t="s">
        <v>305</v>
      </c>
      <c r="M10" s="1005"/>
      <c r="N10" s="194"/>
      <c r="O10" s="69"/>
      <c r="P10" s="69"/>
    </row>
    <row r="11" spans="1:33" ht="14.25" hidden="1" customHeight="1"/>
    <row r="12" spans="1:33" ht="14.25" hidden="1" customHeight="1"/>
    <row r="13" spans="1:33" ht="6" customHeight="1">
      <c r="D13" s="29"/>
      <c r="E13" s="11"/>
      <c r="F13" s="11"/>
      <c r="G13" s="11"/>
      <c r="H13" s="11"/>
      <c r="I13" s="11"/>
      <c r="J13" s="11"/>
      <c r="K13" s="11"/>
      <c r="L13" s="21"/>
      <c r="M13" s="21"/>
    </row>
    <row r="14" spans="1:33" ht="14.25" customHeight="1">
      <c r="D14" s="29"/>
      <c r="E14" s="146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462"/>
      <c r="G14" s="1462"/>
      <c r="H14" s="1462"/>
      <c r="I14" s="1462"/>
      <c r="J14" s="1462"/>
      <c r="K14" s="1462"/>
      <c r="L14" s="1462"/>
      <c r="M14" s="60"/>
    </row>
    <row r="15" spans="1:33" ht="6" customHeight="1">
      <c r="D15" s="29"/>
      <c r="E15" s="11"/>
      <c r="F15" s="15"/>
      <c r="G15" s="15"/>
      <c r="H15" s="15"/>
      <c r="I15" s="15"/>
      <c r="J15" s="15"/>
      <c r="K15" s="15"/>
      <c r="L15" s="187"/>
      <c r="M15" s="99"/>
    </row>
    <row r="16" spans="1:33" ht="18.75" customHeight="1">
      <c r="D16" s="29"/>
      <c r="E16" s="11"/>
      <c r="F16" s="174" t="str">
        <f>"Дата подачи заявления об "&amp;IF(TITLE_DATE_PR_CHANGE="","утверждении","изменении")&amp;" тарифов"</f>
        <v>Дата подачи заявления об утверждении тарифов</v>
      </c>
      <c r="G16" s="1267" t="str">
        <f>IF(TITLE_DATE_PR_CHANGE="",IF(TITLE_DATE_PR="","",TITLE_DATE_PR),TITLE_DATE_PR_CHANGE)</f>
        <v/>
      </c>
      <c r="H16" s="1267"/>
      <c r="I16" s="1267"/>
      <c r="J16" s="1267"/>
      <c r="K16" s="1267"/>
      <c r="L16" s="1267"/>
      <c r="M16" s="194"/>
    </row>
    <row r="17" spans="1:16" ht="18.75" customHeight="1">
      <c r="D17" s="29"/>
      <c r="E17" s="11"/>
      <c r="F17" s="174" t="str">
        <f>"Номер подачи заявления об "&amp;IF(TITLE_DATE_PR_CHANGE="","утверждении","изменении")&amp;" тарифов"</f>
        <v>Номер подачи заявления об утверждении тарифов</v>
      </c>
      <c r="G17" s="1258" t="str">
        <f>IF(TITLE_NUMBER_PR_CHANGE="",IF(TITLE_NUMBER_PR="","",TITLE_NUMBER_PR),TITLE_NUMBER_PR_CHANGE)</f>
        <v/>
      </c>
      <c r="H17" s="1258"/>
      <c r="I17" s="1258"/>
      <c r="J17" s="1258"/>
      <c r="K17" s="1258"/>
      <c r="L17" s="1258"/>
      <c r="M17" s="194"/>
    </row>
    <row r="18" spans="1:16" ht="14.25" customHeight="1">
      <c r="D18" s="29"/>
      <c r="E18" s="11"/>
      <c r="F18" s="15"/>
      <c r="G18" s="15"/>
      <c r="H18" s="15"/>
      <c r="I18" s="15"/>
      <c r="J18" s="15"/>
      <c r="K18" s="15"/>
      <c r="L18" s="426"/>
      <c r="M18" s="99"/>
    </row>
    <row r="19" spans="1:16" ht="21" customHeight="1">
      <c r="D19" s="29"/>
      <c r="E19" s="1224" t="s">
        <v>299</v>
      </c>
      <c r="F19" s="1224"/>
      <c r="G19" s="1224"/>
      <c r="H19" s="1224"/>
      <c r="I19" s="1224"/>
      <c r="J19" s="1224"/>
      <c r="K19" s="1224"/>
      <c r="L19" s="1224"/>
      <c r="M19" s="1457" t="s">
        <v>300</v>
      </c>
    </row>
    <row r="20" spans="1:16" ht="21" customHeight="1">
      <c r="D20" s="29"/>
      <c r="E20" s="1277" t="s">
        <v>84</v>
      </c>
      <c r="F20" s="1238" t="s">
        <v>123</v>
      </c>
      <c r="G20" s="1238" t="s">
        <v>124</v>
      </c>
      <c r="H20" s="1436" t="s">
        <v>1123</v>
      </c>
      <c r="I20" s="1437"/>
      <c r="J20" s="1438"/>
      <c r="K20" s="1238" t="s">
        <v>302</v>
      </c>
      <c r="L20" s="1238" t="s">
        <v>389</v>
      </c>
      <c r="M20" s="1457"/>
    </row>
    <row r="21" spans="1:16" ht="21" customHeight="1">
      <c r="D21" s="29"/>
      <c r="E21" s="1279"/>
      <c r="F21" s="1239"/>
      <c r="G21" s="1239"/>
      <c r="H21" s="1233" t="s">
        <v>1124</v>
      </c>
      <c r="I21" s="1235"/>
      <c r="J21" s="40" t="s">
        <v>1125</v>
      </c>
      <c r="K21" s="1239"/>
      <c r="L21" s="1239"/>
      <c r="M21" s="1457"/>
    </row>
    <row r="22" spans="1:16" ht="12" customHeight="1">
      <c r="D22" s="29"/>
      <c r="E22" s="23"/>
      <c r="F22" s="23"/>
      <c r="G22" s="23"/>
      <c r="H22" s="1464"/>
      <c r="I22" s="1464"/>
      <c r="J22" s="23"/>
      <c r="K22" s="23"/>
      <c r="L22" s="23"/>
      <c r="M22" s="23"/>
    </row>
    <row r="23" spans="1:16" ht="18.75" customHeight="1">
      <c r="A23" s="35"/>
      <c r="B23" s="35"/>
      <c r="D23" s="29"/>
      <c r="E23" s="1000" t="s">
        <v>105</v>
      </c>
      <c r="F23" s="1465" t="str">
        <f>"Предлагаемый метод регулирования"&amp;IF(TEMPLATE_SPHERE="HEAT"," в сфере "&amp;TEMPLATE_SPHERE_RUS,"")</f>
        <v>Предлагаемый метод регулирования в сфере теплоснабжения</v>
      </c>
      <c r="G23" s="1465"/>
      <c r="H23" s="1458"/>
      <c r="I23" s="1458"/>
      <c r="J23" s="1458"/>
      <c r="K23" s="1465" t="s">
        <v>305</v>
      </c>
      <c r="L23" s="1458"/>
      <c r="M23" s="151"/>
      <c r="N23" s="194"/>
    </row>
    <row r="24" spans="1:16" ht="60.75" hidden="1" customHeight="1">
      <c r="A24" s="35" t="s">
        <v>156</v>
      </c>
      <c r="B24" s="35" t="s">
        <v>157</v>
      </c>
      <c r="D24" s="1463"/>
      <c r="E24" s="1219"/>
      <c r="F24" s="146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32" t="str">
        <f>INDEX(PT_DIFFERENTIATION_NTAR,MATCH(B24,PT_DIFFERENTIATION_NTAR_ID,0))</f>
        <v/>
      </c>
      <c r="H24" s="753"/>
      <c r="I24" s="938"/>
      <c r="J24" s="964"/>
      <c r="K24" s="999"/>
      <c r="L24" s="753" t="s">
        <v>305</v>
      </c>
      <c r="M24" s="1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4"/>
    </row>
    <row r="25" spans="1:16" s="12" customFormat="1" ht="18.75" hidden="1" customHeight="1">
      <c r="A25" s="35"/>
      <c r="B25" s="35"/>
      <c r="C25" s="5" t="s">
        <v>1120</v>
      </c>
      <c r="D25" s="1463"/>
      <c r="E25" s="1219"/>
      <c r="F25" s="1466"/>
      <c r="G25" s="1432"/>
      <c r="H25" s="813"/>
      <c r="I25" s="53" t="s">
        <v>1121</v>
      </c>
      <c r="J25" s="109"/>
      <c r="K25" s="813"/>
      <c r="L25" s="106"/>
      <c r="M25" s="1188"/>
      <c r="N25" s="194"/>
      <c r="O25" s="69"/>
      <c r="P25" s="69"/>
    </row>
    <row r="26" spans="1:16" ht="0.75" hidden="1" customHeight="1">
      <c r="A26" s="35"/>
      <c r="B26" s="35"/>
      <c r="C26" s="5" t="s">
        <v>1126</v>
      </c>
      <c r="D26" s="1463"/>
      <c r="E26" s="1219"/>
      <c r="F26" s="1361"/>
      <c r="G26" s="225"/>
      <c r="H26" s="813"/>
      <c r="I26" s="53"/>
      <c r="J26" s="109"/>
      <c r="K26" s="813"/>
      <c r="L26" s="106"/>
      <c r="M26" s="1188"/>
      <c r="N26" s="194"/>
    </row>
    <row r="27" spans="1:16" s="12" customFormat="1" ht="45" hidden="1" customHeight="1">
      <c r="A27" s="35" t="s">
        <v>161</v>
      </c>
      <c r="B27" s="35" t="s">
        <v>162</v>
      </c>
      <c r="C27" s="5"/>
      <c r="D27" s="1459"/>
      <c r="E27" s="1460"/>
      <c r="F27" s="1461" t="str">
        <f>INDEX(PT_DIFFERENTIATION_VTAR,MATCH(A27,PT_DIFFERENTIATION_VTAR_ID,0))</f>
        <v/>
      </c>
      <c r="G27" s="1432" t="str">
        <f>INDEX(PT_DIFFERENTIATION_NTAR,MATCH(B27,PT_DIFFERENTIATION_NTAR_ID,0))</f>
        <v/>
      </c>
      <c r="H27" s="753"/>
      <c r="I27" s="938"/>
      <c r="J27" s="964"/>
      <c r="K27" s="999"/>
      <c r="L27" s="753" t="s">
        <v>305</v>
      </c>
      <c r="M27" s="1188"/>
      <c r="N27" s="194"/>
      <c r="O27" s="69"/>
      <c r="P27" s="69"/>
    </row>
    <row r="28" spans="1:16" s="12" customFormat="1" ht="18.75" hidden="1" customHeight="1">
      <c r="A28" s="35"/>
      <c r="B28" s="35"/>
      <c r="C28" s="5" t="s">
        <v>1120</v>
      </c>
      <c r="D28" s="1459"/>
      <c r="E28" s="1460"/>
      <c r="F28" s="1461"/>
      <c r="G28" s="1432"/>
      <c r="H28" s="813"/>
      <c r="I28" s="53" t="s">
        <v>1121</v>
      </c>
      <c r="J28" s="109"/>
      <c r="K28" s="813"/>
      <c r="L28" s="106"/>
      <c r="M28" s="1188"/>
      <c r="N28" s="194"/>
      <c r="O28" s="69"/>
      <c r="P28" s="69"/>
    </row>
    <row r="29" spans="1:16" s="12" customFormat="1" ht="0.75" hidden="1" customHeight="1">
      <c r="A29" s="35"/>
      <c r="B29" s="35"/>
      <c r="C29" s="5" t="s">
        <v>1126</v>
      </c>
      <c r="D29" s="1459"/>
      <c r="E29" s="1219"/>
      <c r="F29" s="1361"/>
      <c r="G29" s="225"/>
      <c r="H29" s="813"/>
      <c r="I29" s="53"/>
      <c r="J29" s="109"/>
      <c r="K29" s="813"/>
      <c r="L29" s="106"/>
      <c r="M29" s="1188"/>
      <c r="N29" s="194"/>
      <c r="O29" s="69"/>
      <c r="P29" s="69"/>
    </row>
    <row r="30" spans="1:16" s="12" customFormat="1" ht="45" hidden="1" customHeight="1">
      <c r="A30" s="35" t="s">
        <v>168</v>
      </c>
      <c r="B30" s="35" t="s">
        <v>169</v>
      </c>
      <c r="C30" s="5"/>
      <c r="D30" s="1459"/>
      <c r="E30" s="1219"/>
      <c r="F30" s="136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32" t="str">
        <f>INDEX(PT_DIFFERENTIATION_NTAR,MATCH(B30,PT_DIFFERENTIATION_NTAR_ID,0))</f>
        <v/>
      </c>
      <c r="H30" s="753"/>
      <c r="I30" s="938"/>
      <c r="J30" s="964"/>
      <c r="K30" s="999"/>
      <c r="L30" s="753" t="s">
        <v>305</v>
      </c>
      <c r="M30" s="1188"/>
      <c r="N30" s="194"/>
      <c r="O30" s="69"/>
      <c r="P30" s="69"/>
    </row>
    <row r="31" spans="1:16" s="12" customFormat="1" ht="18.75" hidden="1" customHeight="1">
      <c r="A31" s="35"/>
      <c r="B31" s="35"/>
      <c r="C31" s="5" t="s">
        <v>1120</v>
      </c>
      <c r="D31" s="1459"/>
      <c r="E31" s="1219"/>
      <c r="F31" s="1361"/>
      <c r="G31" s="1432"/>
      <c r="H31" s="813"/>
      <c r="I31" s="53" t="s">
        <v>1121</v>
      </c>
      <c r="J31" s="109"/>
      <c r="K31" s="813"/>
      <c r="L31" s="106"/>
      <c r="M31" s="1188"/>
      <c r="N31" s="194"/>
      <c r="O31" s="69"/>
      <c r="P31" s="69"/>
    </row>
    <row r="32" spans="1:16" s="12" customFormat="1" ht="0.75" hidden="1" customHeight="1">
      <c r="A32" s="35"/>
      <c r="B32" s="35"/>
      <c r="C32" s="5" t="s">
        <v>1126</v>
      </c>
      <c r="D32" s="1459"/>
      <c r="E32" s="1219"/>
      <c r="F32" s="1361"/>
      <c r="G32" s="225"/>
      <c r="H32" s="813"/>
      <c r="I32" s="53"/>
      <c r="J32" s="109"/>
      <c r="K32" s="813"/>
      <c r="L32" s="106"/>
      <c r="M32" s="1188"/>
      <c r="N32" s="194"/>
      <c r="O32" s="69"/>
      <c r="P32" s="69"/>
    </row>
    <row r="33" spans="1:16" s="12" customFormat="1" ht="45" hidden="1" customHeight="1">
      <c r="A33" s="35" t="s">
        <v>174</v>
      </c>
      <c r="B33" s="35" t="s">
        <v>175</v>
      </c>
      <c r="C33" s="5"/>
      <c r="D33" s="1459"/>
      <c r="E33" s="1219"/>
      <c r="F33" s="136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32" t="str">
        <f>INDEX(PT_DIFFERENTIATION_NTAR,MATCH(B33,PT_DIFFERENTIATION_NTAR_ID,0))</f>
        <v/>
      </c>
      <c r="H33" s="753"/>
      <c r="I33" s="938"/>
      <c r="J33" s="964"/>
      <c r="K33" s="999"/>
      <c r="L33" s="753" t="s">
        <v>305</v>
      </c>
      <c r="M33" s="1188"/>
      <c r="N33" s="194"/>
      <c r="O33" s="69"/>
      <c r="P33" s="69"/>
    </row>
    <row r="34" spans="1:16" s="12" customFormat="1" ht="18.75" hidden="1" customHeight="1">
      <c r="A34" s="35"/>
      <c r="B34" s="35"/>
      <c r="C34" s="5" t="s">
        <v>1120</v>
      </c>
      <c r="D34" s="1459"/>
      <c r="E34" s="1219"/>
      <c r="F34" s="1361"/>
      <c r="G34" s="1432"/>
      <c r="H34" s="813"/>
      <c r="I34" s="53" t="s">
        <v>1121</v>
      </c>
      <c r="J34" s="109"/>
      <c r="K34" s="813"/>
      <c r="L34" s="106"/>
      <c r="M34" s="1188"/>
      <c r="N34" s="194"/>
      <c r="O34" s="69"/>
      <c r="P34" s="69"/>
    </row>
    <row r="35" spans="1:16" s="12" customFormat="1" ht="0.75" hidden="1" customHeight="1">
      <c r="A35" s="35"/>
      <c r="B35" s="35"/>
      <c r="C35" s="5" t="s">
        <v>1126</v>
      </c>
      <c r="D35" s="1459"/>
      <c r="E35" s="1219"/>
      <c r="F35" s="1361"/>
      <c r="G35" s="225"/>
      <c r="H35" s="813"/>
      <c r="I35" s="53"/>
      <c r="J35" s="109"/>
      <c r="K35" s="813"/>
      <c r="L35" s="106"/>
      <c r="M35" s="1188"/>
      <c r="N35" s="194"/>
      <c r="O35" s="69"/>
      <c r="P35" s="69"/>
    </row>
    <row r="36" spans="1:16" s="12" customFormat="1" ht="18.75" hidden="1" customHeight="1">
      <c r="A36" s="35" t="s">
        <v>180</v>
      </c>
      <c r="B36" s="35" t="s">
        <v>181</v>
      </c>
      <c r="C36" s="5"/>
      <c r="D36" s="1459"/>
      <c r="E36" s="1219"/>
      <c r="F36" s="1361" t="str">
        <f>INDEX(PT_DIFFERENTIATION_VTAR,MATCH(A36,PT_DIFFERENTIATION_VTAR_ID,0))</f>
        <v>Тарифы на услуги по передаче тепловой энергии</v>
      </c>
      <c r="G36" s="1432" t="str">
        <f>INDEX(PT_DIFFERENTIATION_NTAR,MATCH(B36,PT_DIFFERENTIATION_NTAR_ID,0))</f>
        <v/>
      </c>
      <c r="H36" s="753"/>
      <c r="I36" s="938"/>
      <c r="J36" s="964"/>
      <c r="K36" s="999"/>
      <c r="L36" s="753" t="s">
        <v>305</v>
      </c>
      <c r="M36" s="1188"/>
      <c r="N36" s="194"/>
      <c r="O36" s="69"/>
      <c r="P36" s="69"/>
    </row>
    <row r="37" spans="1:16" s="12" customFormat="1" ht="18.75" hidden="1" customHeight="1">
      <c r="A37" s="35"/>
      <c r="B37" s="35"/>
      <c r="C37" s="5" t="s">
        <v>1120</v>
      </c>
      <c r="D37" s="1459"/>
      <c r="E37" s="1219"/>
      <c r="F37" s="1361"/>
      <c r="G37" s="1432"/>
      <c r="H37" s="813"/>
      <c r="I37" s="53" t="s">
        <v>1121</v>
      </c>
      <c r="J37" s="109"/>
      <c r="K37" s="813"/>
      <c r="L37" s="106"/>
      <c r="M37" s="1188"/>
      <c r="N37" s="194"/>
      <c r="O37" s="69"/>
      <c r="P37" s="69"/>
    </row>
    <row r="38" spans="1:16" s="12" customFormat="1" ht="0.75" hidden="1" customHeight="1">
      <c r="A38" s="35"/>
      <c r="B38" s="35"/>
      <c r="C38" s="5" t="s">
        <v>1126</v>
      </c>
      <c r="D38" s="1459"/>
      <c r="E38" s="1219"/>
      <c r="F38" s="1361"/>
      <c r="G38" s="225"/>
      <c r="H38" s="813"/>
      <c r="I38" s="53"/>
      <c r="J38" s="109"/>
      <c r="K38" s="813"/>
      <c r="L38" s="106"/>
      <c r="M38" s="1188"/>
      <c r="N38" s="194"/>
      <c r="O38" s="69"/>
      <c r="P38" s="69"/>
    </row>
    <row r="39" spans="1:16" s="12" customFormat="1" ht="18.75" hidden="1" customHeight="1">
      <c r="A39" s="35" t="s">
        <v>186</v>
      </c>
      <c r="B39" s="35" t="s">
        <v>187</v>
      </c>
      <c r="C39" s="5"/>
      <c r="D39" s="1459"/>
      <c r="E39" s="1219"/>
      <c r="F39" s="1361" t="str">
        <f>INDEX(PT_DIFFERENTIATION_VTAR,MATCH(A39,PT_DIFFERENTIATION_VTAR_ID,0))</f>
        <v>Тарифы на услуги по передаче теплоносителя</v>
      </c>
      <c r="G39" s="1432" t="str">
        <f>INDEX(PT_DIFFERENTIATION_NTAR,MATCH(B39,PT_DIFFERENTIATION_NTAR_ID,0))</f>
        <v/>
      </c>
      <c r="H39" s="753"/>
      <c r="I39" s="938"/>
      <c r="J39" s="964"/>
      <c r="K39" s="999"/>
      <c r="L39" s="753" t="s">
        <v>305</v>
      </c>
      <c r="M39" s="1188"/>
      <c r="N39" s="194"/>
      <c r="O39" s="69"/>
      <c r="P39" s="69"/>
    </row>
    <row r="40" spans="1:16" s="12" customFormat="1" ht="18.75" hidden="1" customHeight="1">
      <c r="A40" s="35"/>
      <c r="B40" s="35"/>
      <c r="C40" s="5" t="s">
        <v>1120</v>
      </c>
      <c r="D40" s="1459"/>
      <c r="E40" s="1219"/>
      <c r="F40" s="1361"/>
      <c r="G40" s="1432"/>
      <c r="H40" s="813"/>
      <c r="I40" s="53" t="s">
        <v>1121</v>
      </c>
      <c r="J40" s="109"/>
      <c r="K40" s="813"/>
      <c r="L40" s="106"/>
      <c r="M40" s="1188"/>
      <c r="N40" s="194"/>
      <c r="O40" s="69"/>
      <c r="P40" s="69"/>
    </row>
    <row r="41" spans="1:16" s="12" customFormat="1" ht="0.75" hidden="1" customHeight="1">
      <c r="A41" s="35"/>
      <c r="B41" s="35"/>
      <c r="C41" s="5" t="s">
        <v>1126</v>
      </c>
      <c r="D41" s="1459"/>
      <c r="E41" s="1219"/>
      <c r="F41" s="1361"/>
      <c r="G41" s="225"/>
      <c r="H41" s="813"/>
      <c r="I41" s="53"/>
      <c r="J41" s="109"/>
      <c r="K41" s="813"/>
      <c r="L41" s="106"/>
      <c r="M41" s="1188"/>
      <c r="N41" s="194"/>
      <c r="O41" s="69"/>
      <c r="P41" s="69"/>
    </row>
    <row r="42" spans="1:16" s="12" customFormat="1" ht="18.75" hidden="1" customHeight="1">
      <c r="A42" s="35" t="s">
        <v>192</v>
      </c>
      <c r="B42" s="35" t="s">
        <v>193</v>
      </c>
      <c r="C42" s="5"/>
      <c r="D42" s="1459"/>
      <c r="E42" s="1219"/>
      <c r="F42" s="1361" t="str">
        <f>INDEX(PT_DIFFERENTIATION_VTAR,MATCH(A42,PT_DIFFERENTIATION_VTAR_ID,0))</f>
        <v>Плата за услуги по поддержанию резервной тепловой мощности при отсутствии потребления тепловой энергии</v>
      </c>
      <c r="G42" s="1432" t="str">
        <f>INDEX(PT_DIFFERENTIATION_NTAR,MATCH(B42,PT_DIFFERENTIATION_NTAR_ID,0))</f>
        <v/>
      </c>
      <c r="H42" s="753"/>
      <c r="I42" s="938"/>
      <c r="J42" s="964"/>
      <c r="K42" s="999"/>
      <c r="L42" s="753" t="s">
        <v>305</v>
      </c>
      <c r="M42" s="1188"/>
      <c r="N42" s="194"/>
      <c r="O42" s="69"/>
      <c r="P42" s="69"/>
    </row>
    <row r="43" spans="1:16" s="12" customFormat="1" ht="18.75" hidden="1" customHeight="1">
      <c r="A43" s="35"/>
      <c r="B43" s="35"/>
      <c r="C43" s="5" t="s">
        <v>1120</v>
      </c>
      <c r="D43" s="1459"/>
      <c r="E43" s="1219"/>
      <c r="F43" s="1361"/>
      <c r="G43" s="1432"/>
      <c r="H43" s="813"/>
      <c r="I43" s="53" t="s">
        <v>1121</v>
      </c>
      <c r="J43" s="109"/>
      <c r="K43" s="813"/>
      <c r="L43" s="106"/>
      <c r="M43" s="1188"/>
      <c r="N43" s="194"/>
      <c r="O43" s="69"/>
      <c r="P43" s="69"/>
    </row>
    <row r="44" spans="1:16" s="12" customFormat="1" ht="0.75" hidden="1" customHeight="1">
      <c r="A44" s="35"/>
      <c r="B44" s="35"/>
      <c r="C44" s="5" t="s">
        <v>1126</v>
      </c>
      <c r="D44" s="1459"/>
      <c r="E44" s="1219"/>
      <c r="F44" s="1361"/>
      <c r="G44" s="225"/>
      <c r="H44" s="813"/>
      <c r="I44" s="53"/>
      <c r="J44" s="109"/>
      <c r="K44" s="813"/>
      <c r="L44" s="106"/>
      <c r="M44" s="1188"/>
      <c r="N44" s="194"/>
      <c r="O44" s="69"/>
      <c r="P44" s="69"/>
    </row>
    <row r="45" spans="1:16" s="12" customFormat="1" ht="18.75" hidden="1" customHeight="1">
      <c r="A45" s="35" t="s">
        <v>198</v>
      </c>
      <c r="B45" s="35" t="s">
        <v>199</v>
      </c>
      <c r="C45" s="5"/>
      <c r="D45" s="1459"/>
      <c r="E45" s="1219"/>
      <c r="F45" s="1361" t="str">
        <f>INDEX(PT_DIFFERENTIATION_VTAR,MATCH(A45,PT_DIFFERENTIATION_VTAR_ID,0))</f>
        <v>Плата за подключение (технологическое присоединение) к системе теплоснабжения</v>
      </c>
      <c r="G45" s="1432" t="str">
        <f>INDEX(PT_DIFFERENTIATION_NTAR,MATCH(B45,PT_DIFFERENTIATION_NTAR_ID,0))</f>
        <v/>
      </c>
      <c r="H45" s="753"/>
      <c r="I45" s="938"/>
      <c r="J45" s="964"/>
      <c r="K45" s="999"/>
      <c r="L45" s="753" t="s">
        <v>305</v>
      </c>
      <c r="M45" s="1188"/>
      <c r="N45" s="194"/>
      <c r="O45" s="69"/>
      <c r="P45" s="69"/>
    </row>
    <row r="46" spans="1:16" s="12" customFormat="1" ht="18.75" hidden="1" customHeight="1">
      <c r="A46" s="35"/>
      <c r="B46" s="35"/>
      <c r="C46" s="5" t="s">
        <v>1120</v>
      </c>
      <c r="D46" s="1459"/>
      <c r="E46" s="1219"/>
      <c r="F46" s="1361"/>
      <c r="G46" s="1432"/>
      <c r="H46" s="813"/>
      <c r="I46" s="53" t="s">
        <v>1121</v>
      </c>
      <c r="J46" s="109"/>
      <c r="K46" s="813"/>
      <c r="L46" s="106"/>
      <c r="M46" s="1188"/>
      <c r="N46" s="194"/>
      <c r="O46" s="69"/>
      <c r="P46" s="69"/>
    </row>
    <row r="47" spans="1:16" s="12" customFormat="1" ht="0.75" hidden="1" customHeight="1">
      <c r="A47" s="35"/>
      <c r="B47" s="35"/>
      <c r="C47" s="5" t="s">
        <v>1126</v>
      </c>
      <c r="D47" s="1459"/>
      <c r="E47" s="1219"/>
      <c r="F47" s="1361"/>
      <c r="G47" s="225"/>
      <c r="H47" s="813"/>
      <c r="I47" s="53"/>
      <c r="J47" s="109"/>
      <c r="K47" s="813"/>
      <c r="L47" s="106"/>
      <c r="M47" s="1188"/>
      <c r="N47" s="194"/>
      <c r="O47" s="69"/>
      <c r="P47" s="69"/>
    </row>
    <row r="48" spans="1:16" s="12" customFormat="1" ht="18.75" hidden="1" customHeight="1">
      <c r="A48" s="35" t="s">
        <v>204</v>
      </c>
      <c r="B48" s="35" t="s">
        <v>205</v>
      </c>
      <c r="C48" s="5"/>
      <c r="D48" s="1459"/>
      <c r="E48" s="1219"/>
      <c r="F48" s="1361" t="str">
        <f>INDEX(PT_DIFFERENTIATION_VTAR,MATCH(A48,PT_DIFFERENTIATION_VTAR_ID,0))</f>
        <v>Плата за подключение (технологическое присоединение) к системе теплоснабжения (индивидуальная)</v>
      </c>
      <c r="G48" s="1432" t="str">
        <f>INDEX(PT_DIFFERENTIATION_NTAR,MATCH(B48,PT_DIFFERENTIATION_NTAR_ID,0))</f>
        <v/>
      </c>
      <c r="H48" s="753"/>
      <c r="I48" s="938"/>
      <c r="J48" s="964"/>
      <c r="K48" s="999"/>
      <c r="L48" s="753" t="s">
        <v>305</v>
      </c>
      <c r="M48" s="1188"/>
      <c r="N48" s="194"/>
      <c r="O48" s="69"/>
      <c r="P48" s="69"/>
    </row>
    <row r="49" spans="1:16" s="12" customFormat="1" ht="18.75" hidden="1" customHeight="1">
      <c r="A49" s="35"/>
      <c r="B49" s="35"/>
      <c r="C49" s="5" t="s">
        <v>1120</v>
      </c>
      <c r="D49" s="1459"/>
      <c r="E49" s="1219"/>
      <c r="F49" s="1361"/>
      <c r="G49" s="1432"/>
      <c r="H49" s="813"/>
      <c r="I49" s="53" t="s">
        <v>1121</v>
      </c>
      <c r="J49" s="109"/>
      <c r="K49" s="813"/>
      <c r="L49" s="106"/>
      <c r="M49" s="1188"/>
      <c r="N49" s="194"/>
      <c r="O49" s="69"/>
      <c r="P49" s="69"/>
    </row>
    <row r="50" spans="1:16" s="12" customFormat="1" ht="0.75" hidden="1" customHeight="1">
      <c r="A50" s="35"/>
      <c r="B50" s="35"/>
      <c r="C50" s="5" t="s">
        <v>1126</v>
      </c>
      <c r="D50" s="1459"/>
      <c r="E50" s="1219"/>
      <c r="F50" s="1361"/>
      <c r="G50" s="225"/>
      <c r="H50" s="813"/>
      <c r="I50" s="53"/>
      <c r="J50" s="109"/>
      <c r="K50" s="813"/>
      <c r="L50" s="106"/>
      <c r="M50" s="1188"/>
      <c r="N50" s="194"/>
      <c r="O50" s="69"/>
      <c r="P50" s="69"/>
    </row>
    <row r="51" spans="1:16" s="12" customFormat="1" ht="18.75" hidden="1" customHeight="1">
      <c r="A51" s="35" t="s">
        <v>224</v>
      </c>
      <c r="B51" s="35" t="s">
        <v>225</v>
      </c>
      <c r="C51" s="5"/>
      <c r="D51" s="1459"/>
      <c r="E51" s="1219"/>
      <c r="F51" s="1361" t="str">
        <f>INDEX(PT_DIFFERENTIATION_VTAR,MATCH(A51,PT_DIFFERENTIATION_VTAR_ID,0))</f>
        <v>Тариф на питьевую воду (питьевое водоснабжение)</v>
      </c>
      <c r="G51" s="1432" t="str">
        <f>INDEX(PT_DIFFERENTIATION_NTAR,MATCH(B51,PT_DIFFERENTIATION_NTAR_ID,0))</f>
        <v/>
      </c>
      <c r="H51" s="753"/>
      <c r="I51" s="938"/>
      <c r="J51" s="964"/>
      <c r="K51" s="999"/>
      <c r="L51" s="753" t="s">
        <v>305</v>
      </c>
      <c r="M51" s="1188"/>
      <c r="N51" s="194"/>
      <c r="O51" s="69"/>
      <c r="P51" s="69"/>
    </row>
    <row r="52" spans="1:16" s="12" customFormat="1" ht="18.75" hidden="1" customHeight="1">
      <c r="A52" s="35"/>
      <c r="B52" s="35"/>
      <c r="C52" s="5" t="s">
        <v>1120</v>
      </c>
      <c r="D52" s="1459"/>
      <c r="E52" s="1219"/>
      <c r="F52" s="1361"/>
      <c r="G52" s="1432"/>
      <c r="H52" s="813"/>
      <c r="I52" s="53" t="s">
        <v>1121</v>
      </c>
      <c r="J52" s="109"/>
      <c r="K52" s="813"/>
      <c r="L52" s="106"/>
      <c r="M52" s="1188"/>
      <c r="N52" s="194"/>
      <c r="O52" s="69"/>
      <c r="P52" s="69"/>
    </row>
    <row r="53" spans="1:16" s="12" customFormat="1" ht="0.75" hidden="1" customHeight="1">
      <c r="A53" s="35"/>
      <c r="B53" s="35"/>
      <c r="C53" s="5" t="s">
        <v>1126</v>
      </c>
      <c r="D53" s="1459"/>
      <c r="E53" s="1219"/>
      <c r="F53" s="1361"/>
      <c r="G53" s="225"/>
      <c r="H53" s="813"/>
      <c r="I53" s="53"/>
      <c r="J53" s="109"/>
      <c r="K53" s="813"/>
      <c r="L53" s="106"/>
      <c r="M53" s="1188"/>
      <c r="N53" s="194"/>
      <c r="O53" s="69"/>
      <c r="P53" s="69"/>
    </row>
    <row r="54" spans="1:16" s="12" customFormat="1" ht="18.75" hidden="1" customHeight="1">
      <c r="A54" s="35" t="s">
        <v>229</v>
      </c>
      <c r="B54" s="35" t="s">
        <v>230</v>
      </c>
      <c r="C54" s="5"/>
      <c r="D54" s="1459"/>
      <c r="E54" s="1219"/>
      <c r="F54" s="1361" t="str">
        <f>INDEX(PT_DIFFERENTIATION_VTAR,MATCH(A54,PT_DIFFERENTIATION_VTAR_ID,0))</f>
        <v>Тариф на техническую воду</v>
      </c>
      <c r="G54" s="1432" t="str">
        <f>INDEX(PT_DIFFERENTIATION_NTAR,MATCH(B54,PT_DIFFERENTIATION_NTAR_ID,0))</f>
        <v/>
      </c>
      <c r="H54" s="753"/>
      <c r="I54" s="938"/>
      <c r="J54" s="964"/>
      <c r="K54" s="999"/>
      <c r="L54" s="753" t="s">
        <v>305</v>
      </c>
      <c r="M54" s="1188"/>
      <c r="N54" s="194"/>
      <c r="O54" s="69"/>
      <c r="P54" s="69"/>
    </row>
    <row r="55" spans="1:16" s="12" customFormat="1" ht="18.75" hidden="1" customHeight="1">
      <c r="A55" s="35"/>
      <c r="B55" s="35"/>
      <c r="C55" s="5" t="s">
        <v>1120</v>
      </c>
      <c r="D55" s="1459"/>
      <c r="E55" s="1219"/>
      <c r="F55" s="1361"/>
      <c r="G55" s="1432"/>
      <c r="H55" s="813"/>
      <c r="I55" s="53" t="s">
        <v>1121</v>
      </c>
      <c r="J55" s="109"/>
      <c r="K55" s="813"/>
      <c r="L55" s="106"/>
      <c r="M55" s="1188"/>
      <c r="N55" s="194"/>
      <c r="O55" s="69"/>
      <c r="P55" s="69"/>
    </row>
    <row r="56" spans="1:16" s="12" customFormat="1" ht="0.75" hidden="1" customHeight="1">
      <c r="A56" s="35"/>
      <c r="B56" s="35"/>
      <c r="C56" s="5" t="s">
        <v>1126</v>
      </c>
      <c r="D56" s="1459"/>
      <c r="E56" s="1219"/>
      <c r="F56" s="1361"/>
      <c r="G56" s="225"/>
      <c r="H56" s="813"/>
      <c r="I56" s="53"/>
      <c r="J56" s="109"/>
      <c r="K56" s="813"/>
      <c r="L56" s="106"/>
      <c r="M56" s="1188"/>
      <c r="N56" s="194"/>
      <c r="O56" s="69"/>
      <c r="P56" s="69"/>
    </row>
    <row r="57" spans="1:16" s="12" customFormat="1" ht="18.75" hidden="1" customHeight="1">
      <c r="A57" s="35" t="s">
        <v>234</v>
      </c>
      <c r="B57" s="35" t="s">
        <v>235</v>
      </c>
      <c r="C57" s="5"/>
      <c r="D57" s="1459"/>
      <c r="E57" s="1219"/>
      <c r="F57" s="1361" t="str">
        <f>INDEX(PT_DIFFERENTIATION_VTAR,MATCH(A57,PT_DIFFERENTIATION_VTAR_ID,0))</f>
        <v>Тариф на транспортировку воды</v>
      </c>
      <c r="G57" s="1432" t="str">
        <f>INDEX(PT_DIFFERENTIATION_NTAR,MATCH(B57,PT_DIFFERENTIATION_NTAR_ID,0))</f>
        <v/>
      </c>
      <c r="H57" s="753"/>
      <c r="I57" s="938"/>
      <c r="J57" s="964"/>
      <c r="K57" s="999"/>
      <c r="L57" s="753" t="s">
        <v>305</v>
      </c>
      <c r="M57" s="1188"/>
      <c r="N57" s="194"/>
      <c r="O57" s="69"/>
      <c r="P57" s="69"/>
    </row>
    <row r="58" spans="1:16" s="12" customFormat="1" ht="18.75" hidden="1" customHeight="1">
      <c r="A58" s="35"/>
      <c r="B58" s="35"/>
      <c r="C58" s="5" t="s">
        <v>1120</v>
      </c>
      <c r="D58" s="1459"/>
      <c r="E58" s="1219"/>
      <c r="F58" s="1361"/>
      <c r="G58" s="1432"/>
      <c r="H58" s="813"/>
      <c r="I58" s="53" t="s">
        <v>1121</v>
      </c>
      <c r="J58" s="109"/>
      <c r="K58" s="813"/>
      <c r="L58" s="106"/>
      <c r="M58" s="1188"/>
      <c r="N58" s="194"/>
      <c r="O58" s="69"/>
      <c r="P58" s="69"/>
    </row>
    <row r="59" spans="1:16" s="12" customFormat="1" ht="0.75" hidden="1" customHeight="1">
      <c r="A59" s="35"/>
      <c r="B59" s="35"/>
      <c r="C59" s="5" t="s">
        <v>1126</v>
      </c>
      <c r="D59" s="1459"/>
      <c r="E59" s="1219"/>
      <c r="F59" s="1361"/>
      <c r="G59" s="225"/>
      <c r="H59" s="813"/>
      <c r="I59" s="53"/>
      <c r="J59" s="109"/>
      <c r="K59" s="813"/>
      <c r="L59" s="106"/>
      <c r="M59" s="1188"/>
      <c r="N59" s="194"/>
      <c r="O59" s="69"/>
      <c r="P59" s="69"/>
    </row>
    <row r="60" spans="1:16" s="12" customFormat="1" ht="18.75" hidden="1" customHeight="1">
      <c r="A60" s="35" t="s">
        <v>239</v>
      </c>
      <c r="B60" s="35" t="s">
        <v>240</v>
      </c>
      <c r="C60" s="5"/>
      <c r="D60" s="1459"/>
      <c r="E60" s="1219"/>
      <c r="F60" s="1361" t="str">
        <f>INDEX(PT_DIFFERENTIATION_VTAR,MATCH(A60,PT_DIFFERENTIATION_VTAR_ID,0))</f>
        <v>Тариф на подвоз воды</v>
      </c>
      <c r="G60" s="1432" t="str">
        <f>INDEX(PT_DIFFERENTIATION_NTAR,MATCH(B60,PT_DIFFERENTIATION_NTAR_ID,0))</f>
        <v/>
      </c>
      <c r="H60" s="753"/>
      <c r="I60" s="938"/>
      <c r="J60" s="964"/>
      <c r="K60" s="999"/>
      <c r="L60" s="753" t="s">
        <v>305</v>
      </c>
      <c r="M60" s="1188"/>
      <c r="N60" s="194"/>
      <c r="O60" s="69"/>
      <c r="P60" s="69"/>
    </row>
    <row r="61" spans="1:16" s="12" customFormat="1" ht="18.75" hidden="1" customHeight="1">
      <c r="A61" s="35"/>
      <c r="B61" s="35"/>
      <c r="C61" s="5" t="s">
        <v>1120</v>
      </c>
      <c r="D61" s="1459"/>
      <c r="E61" s="1219"/>
      <c r="F61" s="1361"/>
      <c r="G61" s="1432"/>
      <c r="H61" s="813"/>
      <c r="I61" s="53" t="s">
        <v>1121</v>
      </c>
      <c r="J61" s="109"/>
      <c r="K61" s="813"/>
      <c r="L61" s="106"/>
      <c r="M61" s="1188"/>
      <c r="N61" s="194"/>
      <c r="O61" s="69"/>
      <c r="P61" s="69"/>
    </row>
    <row r="62" spans="1:16" s="12" customFormat="1" ht="0.75" hidden="1" customHeight="1">
      <c r="A62" s="35"/>
      <c r="B62" s="35"/>
      <c r="C62" s="5" t="s">
        <v>1126</v>
      </c>
      <c r="D62" s="1459"/>
      <c r="E62" s="1219"/>
      <c r="F62" s="1361"/>
      <c r="G62" s="225"/>
      <c r="H62" s="813"/>
      <c r="I62" s="53"/>
      <c r="J62" s="109"/>
      <c r="K62" s="813"/>
      <c r="L62" s="106"/>
      <c r="M62" s="1188"/>
      <c r="N62" s="194"/>
      <c r="O62" s="69"/>
      <c r="P62" s="69"/>
    </row>
    <row r="63" spans="1:16" s="12" customFormat="1" ht="18.75" hidden="1" customHeight="1">
      <c r="A63" s="35" t="s">
        <v>244</v>
      </c>
      <c r="B63" s="35" t="s">
        <v>245</v>
      </c>
      <c r="C63" s="5"/>
      <c r="D63" s="1459"/>
      <c r="E63" s="1219"/>
      <c r="F63" s="1361"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32" t="str">
        <f>INDEX(PT_DIFFERENTIATION_NTAR,MATCH(B63,PT_DIFFERENTIATION_NTAR_ID,0))</f>
        <v/>
      </c>
      <c r="H63" s="753"/>
      <c r="I63" s="938"/>
      <c r="J63" s="964"/>
      <c r="K63" s="999"/>
      <c r="L63" s="753" t="s">
        <v>305</v>
      </c>
      <c r="M63" s="1188"/>
      <c r="N63" s="194"/>
      <c r="O63" s="69"/>
      <c r="P63" s="69"/>
    </row>
    <row r="64" spans="1:16" s="12" customFormat="1" ht="18.75" hidden="1" customHeight="1">
      <c r="A64" s="35"/>
      <c r="B64" s="35"/>
      <c r="C64" s="5" t="s">
        <v>1120</v>
      </c>
      <c r="D64" s="1459"/>
      <c r="E64" s="1219"/>
      <c r="F64" s="1361"/>
      <c r="G64" s="1432"/>
      <c r="H64" s="813"/>
      <c r="I64" s="53" t="s">
        <v>1121</v>
      </c>
      <c r="J64" s="109"/>
      <c r="K64" s="813"/>
      <c r="L64" s="106"/>
      <c r="M64" s="1188"/>
      <c r="N64" s="194"/>
      <c r="O64" s="69"/>
      <c r="P64" s="69"/>
    </row>
    <row r="65" spans="1:16" s="12" customFormat="1" ht="0.75" hidden="1" customHeight="1">
      <c r="A65" s="35"/>
      <c r="B65" s="35"/>
      <c r="C65" s="5" t="s">
        <v>1126</v>
      </c>
      <c r="D65" s="1459"/>
      <c r="E65" s="1219"/>
      <c r="F65" s="1361"/>
      <c r="G65" s="225"/>
      <c r="H65" s="813"/>
      <c r="I65" s="53"/>
      <c r="J65" s="109"/>
      <c r="K65" s="813"/>
      <c r="L65" s="106"/>
      <c r="M65" s="1188"/>
      <c r="N65" s="194"/>
      <c r="O65" s="69"/>
      <c r="P65" s="69"/>
    </row>
    <row r="66" spans="1:16" s="12" customFormat="1" ht="18.75" hidden="1" customHeight="1">
      <c r="A66" s="35" t="s">
        <v>249</v>
      </c>
      <c r="B66" s="35" t="s">
        <v>250</v>
      </c>
      <c r="C66" s="5"/>
      <c r="D66" s="1459"/>
      <c r="E66" s="1219"/>
      <c r="F66" s="1361" t="str">
        <f>INDEX(PT_DIFFERENTIATION_VTAR,MATCH(A66,PT_DIFFERENTIATION_VTAR_ID,0))</f>
        <v>Тариф на горячую воду (горячее водоснабжение)</v>
      </c>
      <c r="G66" s="1432" t="str">
        <f>INDEX(PT_DIFFERENTIATION_NTAR,MATCH(B66,PT_DIFFERENTIATION_NTAR_ID,0))</f>
        <v/>
      </c>
      <c r="H66" s="753"/>
      <c r="I66" s="938"/>
      <c r="J66" s="964"/>
      <c r="K66" s="999"/>
      <c r="L66" s="753" t="s">
        <v>305</v>
      </c>
      <c r="M66" s="1188"/>
      <c r="N66" s="194"/>
      <c r="O66" s="69"/>
      <c r="P66" s="69"/>
    </row>
    <row r="67" spans="1:16" s="12" customFormat="1" ht="18.75" hidden="1" customHeight="1">
      <c r="A67" s="35"/>
      <c r="B67" s="35"/>
      <c r="C67" s="5" t="s">
        <v>1120</v>
      </c>
      <c r="D67" s="1459"/>
      <c r="E67" s="1219"/>
      <c r="F67" s="1361"/>
      <c r="G67" s="1432"/>
      <c r="H67" s="813"/>
      <c r="I67" s="53" t="s">
        <v>1121</v>
      </c>
      <c r="J67" s="109"/>
      <c r="K67" s="813"/>
      <c r="L67" s="106"/>
      <c r="M67" s="1188"/>
      <c r="N67" s="194"/>
      <c r="O67" s="69"/>
      <c r="P67" s="69"/>
    </row>
    <row r="68" spans="1:16" s="12" customFormat="1" ht="0.75" hidden="1" customHeight="1">
      <c r="A68" s="35"/>
      <c r="B68" s="35"/>
      <c r="C68" s="5" t="s">
        <v>1126</v>
      </c>
      <c r="D68" s="1459"/>
      <c r="E68" s="1219"/>
      <c r="F68" s="1361"/>
      <c r="G68" s="225"/>
      <c r="H68" s="813"/>
      <c r="I68" s="53"/>
      <c r="J68" s="109"/>
      <c r="K68" s="813"/>
      <c r="L68" s="106"/>
      <c r="M68" s="1188"/>
      <c r="N68" s="194"/>
      <c r="O68" s="69"/>
      <c r="P68" s="69"/>
    </row>
    <row r="69" spans="1:16" s="12" customFormat="1" ht="18.75" hidden="1" customHeight="1">
      <c r="A69" s="35" t="s">
        <v>254</v>
      </c>
      <c r="B69" s="35" t="s">
        <v>255</v>
      </c>
      <c r="C69" s="5"/>
      <c r="D69" s="1459"/>
      <c r="E69" s="1219"/>
      <c r="F69" s="1361" t="str">
        <f>INDEX(PT_DIFFERENTIATION_VTAR,MATCH(A69,PT_DIFFERENTIATION_VTAR_ID,0))</f>
        <v>Тариф на транспортировку горячей воды</v>
      </c>
      <c r="G69" s="1432" t="str">
        <f>INDEX(PT_DIFFERENTIATION_NTAR,MATCH(B69,PT_DIFFERENTIATION_NTAR_ID,0))</f>
        <v/>
      </c>
      <c r="H69" s="753"/>
      <c r="I69" s="938"/>
      <c r="J69" s="964"/>
      <c r="K69" s="999"/>
      <c r="L69" s="753" t="s">
        <v>305</v>
      </c>
      <c r="M69" s="1188"/>
      <c r="N69" s="194"/>
      <c r="O69" s="69"/>
      <c r="P69" s="69"/>
    </row>
    <row r="70" spans="1:16" s="12" customFormat="1" ht="18.75" hidden="1" customHeight="1">
      <c r="A70" s="35"/>
      <c r="B70" s="35"/>
      <c r="C70" s="5" t="s">
        <v>1120</v>
      </c>
      <c r="D70" s="1459"/>
      <c r="E70" s="1219"/>
      <c r="F70" s="1361"/>
      <c r="G70" s="1432"/>
      <c r="H70" s="813"/>
      <c r="I70" s="53" t="s">
        <v>1121</v>
      </c>
      <c r="J70" s="109"/>
      <c r="K70" s="813"/>
      <c r="L70" s="106"/>
      <c r="M70" s="1188"/>
      <c r="N70" s="194"/>
      <c r="O70" s="69"/>
      <c r="P70" s="69"/>
    </row>
    <row r="71" spans="1:16" s="12" customFormat="1" ht="0.75" hidden="1" customHeight="1">
      <c r="A71" s="35"/>
      <c r="B71" s="35"/>
      <c r="C71" s="5" t="s">
        <v>1126</v>
      </c>
      <c r="D71" s="1459"/>
      <c r="E71" s="1219"/>
      <c r="F71" s="1361"/>
      <c r="G71" s="225"/>
      <c r="H71" s="813"/>
      <c r="I71" s="53"/>
      <c r="J71" s="109"/>
      <c r="K71" s="813"/>
      <c r="L71" s="106"/>
      <c r="M71" s="1188"/>
      <c r="N71" s="194"/>
      <c r="O71" s="69"/>
      <c r="P71" s="69"/>
    </row>
    <row r="72" spans="1:16" s="12" customFormat="1" ht="18.75" hidden="1" customHeight="1">
      <c r="A72" s="35" t="s">
        <v>259</v>
      </c>
      <c r="B72" s="35" t="s">
        <v>260</v>
      </c>
      <c r="C72" s="5"/>
      <c r="D72" s="1459"/>
      <c r="E72" s="1219"/>
      <c r="F72" s="1361" t="str">
        <f>INDEX(PT_DIFFERENTIATION_VTAR,MATCH(A72,PT_DIFFERENTIATION_VTAR_ID,0))</f>
        <v>Тариф на подключение (технологическое присоединение) к централизованной системе горячего водоснабжения</v>
      </c>
      <c r="G72" s="1432" t="str">
        <f>INDEX(PT_DIFFERENTIATION_NTAR,MATCH(B72,PT_DIFFERENTIATION_NTAR_ID,0))</f>
        <v/>
      </c>
      <c r="H72" s="753"/>
      <c r="I72" s="938"/>
      <c r="J72" s="964"/>
      <c r="K72" s="999"/>
      <c r="L72" s="753" t="s">
        <v>305</v>
      </c>
      <c r="M72" s="1188"/>
      <c r="N72" s="194"/>
      <c r="O72" s="69"/>
      <c r="P72" s="69"/>
    </row>
    <row r="73" spans="1:16" s="12" customFormat="1" ht="18.75" hidden="1" customHeight="1">
      <c r="A73" s="35"/>
      <c r="B73" s="35"/>
      <c r="C73" s="5" t="s">
        <v>1120</v>
      </c>
      <c r="D73" s="1459"/>
      <c r="E73" s="1219"/>
      <c r="F73" s="1361"/>
      <c r="G73" s="1432"/>
      <c r="H73" s="813"/>
      <c r="I73" s="53" t="s">
        <v>1121</v>
      </c>
      <c r="J73" s="109"/>
      <c r="K73" s="813"/>
      <c r="L73" s="106"/>
      <c r="M73" s="1188"/>
      <c r="N73" s="194"/>
      <c r="O73" s="69"/>
      <c r="P73" s="69"/>
    </row>
    <row r="74" spans="1:16" s="12" customFormat="1" ht="0.75" hidden="1" customHeight="1">
      <c r="A74" s="35"/>
      <c r="B74" s="35"/>
      <c r="C74" s="5" t="s">
        <v>1126</v>
      </c>
      <c r="D74" s="1459"/>
      <c r="E74" s="1219"/>
      <c r="F74" s="1361"/>
      <c r="G74" s="225"/>
      <c r="H74" s="813"/>
      <c r="I74" s="53"/>
      <c r="J74" s="109"/>
      <c r="K74" s="813"/>
      <c r="L74" s="106"/>
      <c r="M74" s="1188"/>
      <c r="N74" s="194"/>
      <c r="O74" s="69"/>
      <c r="P74" s="69"/>
    </row>
    <row r="75" spans="1:16" s="12" customFormat="1" ht="18.75" hidden="1" customHeight="1">
      <c r="A75" s="35" t="s">
        <v>264</v>
      </c>
      <c r="B75" s="35" t="s">
        <v>265</v>
      </c>
      <c r="C75" s="5"/>
      <c r="D75" s="1459"/>
      <c r="E75" s="1219"/>
      <c r="F75" s="1361" t="str">
        <f>INDEX(PT_DIFFERENTIATION_VTAR,MATCH(A75,PT_DIFFERENTIATION_VTAR_ID,0))</f>
        <v>Тариф на водоотведение</v>
      </c>
      <c r="G75" s="1432" t="str">
        <f>INDEX(PT_DIFFERENTIATION_NTAR,MATCH(B75,PT_DIFFERENTIATION_NTAR_ID,0))</f>
        <v/>
      </c>
      <c r="H75" s="753"/>
      <c r="I75" s="938"/>
      <c r="J75" s="964"/>
      <c r="K75" s="999"/>
      <c r="L75" s="753" t="s">
        <v>305</v>
      </c>
      <c r="M75" s="1188"/>
      <c r="N75" s="194"/>
      <c r="O75" s="69"/>
      <c r="P75" s="69"/>
    </row>
    <row r="76" spans="1:16" s="12" customFormat="1" ht="18.75" hidden="1" customHeight="1">
      <c r="A76" s="35"/>
      <c r="B76" s="35"/>
      <c r="C76" s="5" t="s">
        <v>1120</v>
      </c>
      <c r="D76" s="1459"/>
      <c r="E76" s="1219"/>
      <c r="F76" s="1361"/>
      <c r="G76" s="1432"/>
      <c r="H76" s="813"/>
      <c r="I76" s="53" t="s">
        <v>1121</v>
      </c>
      <c r="J76" s="109"/>
      <c r="K76" s="813"/>
      <c r="L76" s="106"/>
      <c r="M76" s="1188"/>
      <c r="N76" s="194"/>
      <c r="O76" s="69"/>
      <c r="P76" s="69"/>
    </row>
    <row r="77" spans="1:16" s="12" customFormat="1" ht="0.75" hidden="1" customHeight="1">
      <c r="A77" s="35"/>
      <c r="B77" s="35"/>
      <c r="C77" s="5" t="s">
        <v>1126</v>
      </c>
      <c r="D77" s="1459"/>
      <c r="E77" s="1219"/>
      <c r="F77" s="1361"/>
      <c r="G77" s="225"/>
      <c r="H77" s="813"/>
      <c r="I77" s="53"/>
      <c r="J77" s="109"/>
      <c r="K77" s="813"/>
      <c r="L77" s="106"/>
      <c r="M77" s="1188"/>
      <c r="N77" s="194"/>
      <c r="O77" s="69"/>
      <c r="P77" s="69"/>
    </row>
    <row r="78" spans="1:16" s="12" customFormat="1" ht="18.75" hidden="1" customHeight="1">
      <c r="A78" s="35" t="s">
        <v>269</v>
      </c>
      <c r="B78" s="35" t="s">
        <v>270</v>
      </c>
      <c r="C78" s="5"/>
      <c r="D78" s="1459"/>
      <c r="E78" s="1219"/>
      <c r="F78" s="1361" t="str">
        <f>INDEX(PT_DIFFERENTIATION_VTAR,MATCH(A78,PT_DIFFERENTIATION_VTAR_ID,0))</f>
        <v>Тариф на транспортировку сточных вод</v>
      </c>
      <c r="G78" s="1432" t="str">
        <f>INDEX(PT_DIFFERENTIATION_NTAR,MATCH(B78,PT_DIFFERENTIATION_NTAR_ID,0))</f>
        <v/>
      </c>
      <c r="H78" s="753"/>
      <c r="I78" s="938"/>
      <c r="J78" s="964"/>
      <c r="K78" s="999"/>
      <c r="L78" s="753" t="s">
        <v>305</v>
      </c>
      <c r="M78" s="1188"/>
      <c r="N78" s="194"/>
      <c r="O78" s="69"/>
      <c r="P78" s="69"/>
    </row>
    <row r="79" spans="1:16" s="12" customFormat="1" ht="18.75" hidden="1" customHeight="1">
      <c r="A79" s="35"/>
      <c r="B79" s="35"/>
      <c r="C79" s="5" t="s">
        <v>1120</v>
      </c>
      <c r="D79" s="1459"/>
      <c r="E79" s="1219"/>
      <c r="F79" s="1361"/>
      <c r="G79" s="1432"/>
      <c r="H79" s="813"/>
      <c r="I79" s="53" t="s">
        <v>1121</v>
      </c>
      <c r="J79" s="109"/>
      <c r="K79" s="813"/>
      <c r="L79" s="106"/>
      <c r="M79" s="1188"/>
      <c r="N79" s="194"/>
      <c r="O79" s="69"/>
      <c r="P79" s="69"/>
    </row>
    <row r="80" spans="1:16" s="12" customFormat="1" ht="0.75" hidden="1" customHeight="1">
      <c r="A80" s="35"/>
      <c r="B80" s="35"/>
      <c r="C80" s="5" t="s">
        <v>1126</v>
      </c>
      <c r="D80" s="1459"/>
      <c r="E80" s="1219"/>
      <c r="F80" s="1361"/>
      <c r="G80" s="225"/>
      <c r="H80" s="813"/>
      <c r="I80" s="53"/>
      <c r="J80" s="109"/>
      <c r="K80" s="813"/>
      <c r="L80" s="106"/>
      <c r="M80" s="1188"/>
      <c r="N80" s="194"/>
      <c r="O80" s="69"/>
      <c r="P80" s="69"/>
    </row>
    <row r="81" spans="1:16" s="12" customFormat="1" ht="18.75" hidden="1" customHeight="1">
      <c r="A81" s="35" t="s">
        <v>274</v>
      </c>
      <c r="B81" s="35" t="s">
        <v>275</v>
      </c>
      <c r="C81" s="5"/>
      <c r="D81" s="1459"/>
      <c r="E81" s="1219"/>
      <c r="F81" s="1361" t="str">
        <f>INDEX(PT_DIFFERENTIATION_VTAR,MATCH(A81,PT_DIFFERENTIATION_VTAR_ID,0))</f>
        <v>Тариф на подключение (технологическое присоединение) к централизованной системе водоотведения</v>
      </c>
      <c r="G81" s="1432" t="str">
        <f>INDEX(PT_DIFFERENTIATION_NTAR,MATCH(B81,PT_DIFFERENTIATION_NTAR_ID,0))</f>
        <v/>
      </c>
      <c r="H81" s="753"/>
      <c r="I81" s="938"/>
      <c r="J81" s="964"/>
      <c r="K81" s="999"/>
      <c r="L81" s="753" t="s">
        <v>305</v>
      </c>
      <c r="M81" s="1188"/>
      <c r="N81" s="194"/>
      <c r="O81" s="69"/>
      <c r="P81" s="69"/>
    </row>
    <row r="82" spans="1:16" s="12" customFormat="1" ht="18.75" hidden="1" customHeight="1">
      <c r="A82" s="35"/>
      <c r="B82" s="35"/>
      <c r="C82" s="5" t="s">
        <v>1120</v>
      </c>
      <c r="D82" s="1459"/>
      <c r="E82" s="1219"/>
      <c r="F82" s="1361"/>
      <c r="G82" s="1432"/>
      <c r="H82" s="813"/>
      <c r="I82" s="53" t="s">
        <v>1121</v>
      </c>
      <c r="J82" s="109"/>
      <c r="K82" s="813"/>
      <c r="L82" s="106"/>
      <c r="M82" s="1188"/>
      <c r="N82" s="194"/>
      <c r="O82" s="69"/>
      <c r="P82" s="69"/>
    </row>
    <row r="83" spans="1:16" s="12" customFormat="1" ht="0.75" customHeight="1">
      <c r="A83" s="35"/>
      <c r="B83" s="35"/>
      <c r="C83" s="5" t="s">
        <v>1126</v>
      </c>
      <c r="D83" s="1459"/>
      <c r="E83" s="1219"/>
      <c r="F83" s="1361"/>
      <c r="G83" s="225"/>
      <c r="H83" s="813"/>
      <c r="I83" s="53"/>
      <c r="J83" s="109"/>
      <c r="K83" s="813"/>
      <c r="L83" s="106"/>
      <c r="M83" s="1188"/>
      <c r="N83" s="194"/>
      <c r="O83" s="69"/>
      <c r="P83" s="69"/>
    </row>
    <row r="84" spans="1:16" ht="18.75" customHeight="1">
      <c r="A84" s="35"/>
      <c r="B84" s="35"/>
      <c r="D84" s="29"/>
      <c r="E84" s="64" t="s">
        <v>106</v>
      </c>
      <c r="F84" s="145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1458"/>
      <c r="H84" s="1458"/>
      <c r="I84" s="1458"/>
      <c r="J84" s="1458"/>
      <c r="K84" s="1458"/>
      <c r="L84" s="1458"/>
      <c r="M84" s="112"/>
      <c r="N84" s="194"/>
    </row>
    <row r="85" spans="1:16" ht="33.75" customHeight="1">
      <c r="A85" s="35"/>
      <c r="B85" s="35"/>
      <c r="D85" s="29"/>
      <c r="E85" s="224"/>
      <c r="F85" s="40" t="s">
        <v>305</v>
      </c>
      <c r="G85" s="40" t="s">
        <v>305</v>
      </c>
      <c r="H85" s="1233" t="s">
        <v>305</v>
      </c>
      <c r="I85" s="1235"/>
      <c r="J85" s="40" t="s">
        <v>305</v>
      </c>
      <c r="K85" s="40" t="s">
        <v>305</v>
      </c>
      <c r="L85" s="226"/>
      <c r="M85" s="67" t="s">
        <v>1127</v>
      </c>
      <c r="N85" s="194"/>
    </row>
    <row r="86" spans="1:16" ht="18.75" customHeight="1">
      <c r="A86" s="35"/>
      <c r="B86" s="35"/>
      <c r="D86" s="29"/>
      <c r="E86" s="64" t="s">
        <v>86</v>
      </c>
      <c r="F86" s="1458" t="s">
        <v>1128</v>
      </c>
      <c r="G86" s="1458"/>
      <c r="H86" s="1458"/>
      <c r="I86" s="1458"/>
      <c r="J86" s="1458"/>
      <c r="K86" s="1458"/>
      <c r="L86" s="1458"/>
      <c r="M86" s="112"/>
      <c r="N86" s="194"/>
    </row>
    <row r="87" spans="1:16" s="12" customFormat="1" ht="60.75" hidden="1" customHeight="1">
      <c r="A87" s="35" t="s">
        <v>156</v>
      </c>
      <c r="B87" s="35" t="s">
        <v>157</v>
      </c>
      <c r="C87" s="5"/>
      <c r="D87" s="1459"/>
      <c r="E87" s="1219"/>
      <c r="F87" s="136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32" t="str">
        <f>INDEX(PT_DIFFERENTIATION_NTAR,MATCH(B87,PT_DIFFERENTIATION_NTAR_ID,0))</f>
        <v/>
      </c>
      <c r="H87" s="753"/>
      <c r="I87" s="938"/>
      <c r="J87" s="964"/>
      <c r="K87" s="357"/>
      <c r="L87" s="753" t="s">
        <v>305</v>
      </c>
      <c r="M87" s="1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4"/>
      <c r="O87" s="69"/>
      <c r="P87" s="69"/>
    </row>
    <row r="88" spans="1:16" s="12" customFormat="1" ht="18.75" hidden="1" customHeight="1">
      <c r="A88" s="35"/>
      <c r="B88" s="35"/>
      <c r="C88" s="5" t="s">
        <v>1122</v>
      </c>
      <c r="D88" s="1459"/>
      <c r="E88" s="1219"/>
      <c r="F88" s="1361"/>
      <c r="G88" s="1432"/>
      <c r="H88" s="813"/>
      <c r="I88" s="53" t="s">
        <v>1121</v>
      </c>
      <c r="J88" s="109"/>
      <c r="K88" s="813"/>
      <c r="L88" s="106"/>
      <c r="M88" s="1188"/>
      <c r="N88" s="194"/>
      <c r="O88" s="69"/>
      <c r="P88" s="69"/>
    </row>
    <row r="89" spans="1:16" s="12" customFormat="1" ht="0.75" hidden="1" customHeight="1">
      <c r="A89" s="35"/>
      <c r="B89" s="35"/>
      <c r="C89" s="5" t="s">
        <v>1129</v>
      </c>
      <c r="D89" s="1459"/>
      <c r="E89" s="1219"/>
      <c r="F89" s="1361"/>
      <c r="G89" s="225"/>
      <c r="H89" s="813"/>
      <c r="I89" s="53"/>
      <c r="J89" s="109"/>
      <c r="K89" s="813"/>
      <c r="L89" s="106"/>
      <c r="M89" s="1188"/>
      <c r="N89" s="194"/>
      <c r="O89" s="69"/>
      <c r="P89" s="69"/>
    </row>
    <row r="90" spans="1:16" s="12" customFormat="1" ht="45" hidden="1" customHeight="1">
      <c r="A90" s="35" t="s">
        <v>161</v>
      </c>
      <c r="B90" s="35" t="s">
        <v>162</v>
      </c>
      <c r="C90" s="5"/>
      <c r="D90" s="1459"/>
      <c r="E90" s="1219"/>
      <c r="F90" s="1361" t="str">
        <f>INDEX(PT_DIFFERENTIATION_VTAR,MATCH(A90,PT_DIFFERENTIATION_VTAR_ID,0))</f>
        <v/>
      </c>
      <c r="G90" s="1432" t="str">
        <f>INDEX(PT_DIFFERENTIATION_NTAR,MATCH(B90,PT_DIFFERENTIATION_NTAR_ID,0))</f>
        <v/>
      </c>
      <c r="H90" s="753"/>
      <c r="I90" s="938"/>
      <c r="J90" s="964"/>
      <c r="K90" s="357"/>
      <c r="L90" s="753" t="s">
        <v>305</v>
      </c>
      <c r="M90" s="1189"/>
      <c r="N90" s="194"/>
      <c r="O90" s="69"/>
      <c r="P90" s="69"/>
    </row>
    <row r="91" spans="1:16" s="12" customFormat="1" ht="18.75" hidden="1" customHeight="1">
      <c r="A91" s="35"/>
      <c r="B91" s="35"/>
      <c r="C91" s="5" t="s">
        <v>1122</v>
      </c>
      <c r="D91" s="1459"/>
      <c r="E91" s="1219"/>
      <c r="F91" s="1361"/>
      <c r="G91" s="1432"/>
      <c r="H91" s="813"/>
      <c r="I91" s="53" t="s">
        <v>1121</v>
      </c>
      <c r="J91" s="109"/>
      <c r="K91" s="813"/>
      <c r="L91" s="106"/>
      <c r="M91" s="997"/>
      <c r="N91" s="194"/>
      <c r="O91" s="69"/>
      <c r="P91" s="69"/>
    </row>
    <row r="92" spans="1:16" s="12" customFormat="1" ht="0.75" hidden="1" customHeight="1">
      <c r="A92" s="35"/>
      <c r="B92" s="35"/>
      <c r="C92" s="5" t="s">
        <v>1129</v>
      </c>
      <c r="D92" s="1459"/>
      <c r="E92" s="1219"/>
      <c r="F92" s="1361"/>
      <c r="G92" s="225"/>
      <c r="H92" s="813"/>
      <c r="I92" s="53"/>
      <c r="J92" s="109"/>
      <c r="K92" s="813"/>
      <c r="L92" s="106"/>
      <c r="M92" s="199"/>
      <c r="N92" s="194"/>
      <c r="O92" s="69"/>
      <c r="P92" s="69"/>
    </row>
    <row r="93" spans="1:16" s="12" customFormat="1" ht="45" hidden="1" customHeight="1">
      <c r="A93" s="35" t="s">
        <v>168</v>
      </c>
      <c r="B93" s="35" t="s">
        <v>169</v>
      </c>
      <c r="C93" s="5"/>
      <c r="D93" s="1459"/>
      <c r="E93" s="1219"/>
      <c r="F93" s="136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32" t="str">
        <f>INDEX(PT_DIFFERENTIATION_NTAR,MATCH(B93,PT_DIFFERENTIATION_NTAR_ID,0))</f>
        <v/>
      </c>
      <c r="H93" s="753"/>
      <c r="I93" s="938"/>
      <c r="J93" s="964"/>
      <c r="K93" s="357"/>
      <c r="L93" s="753" t="s">
        <v>305</v>
      </c>
      <c r="M93" s="199"/>
      <c r="N93" s="194"/>
      <c r="O93" s="69"/>
      <c r="P93" s="69"/>
    </row>
    <row r="94" spans="1:16" s="12" customFormat="1" ht="18.75" hidden="1" customHeight="1">
      <c r="A94" s="35"/>
      <c r="B94" s="35"/>
      <c r="C94" s="5" t="s">
        <v>1122</v>
      </c>
      <c r="D94" s="1459"/>
      <c r="E94" s="1219"/>
      <c r="F94" s="1361"/>
      <c r="G94" s="1432"/>
      <c r="H94" s="813"/>
      <c r="I94" s="53" t="s">
        <v>1121</v>
      </c>
      <c r="J94" s="109"/>
      <c r="K94" s="813"/>
      <c r="L94" s="106"/>
      <c r="M94" s="199"/>
      <c r="N94" s="194"/>
      <c r="O94" s="69"/>
      <c r="P94" s="69"/>
    </row>
    <row r="95" spans="1:16" s="12" customFormat="1" ht="0.75" hidden="1" customHeight="1">
      <c r="A95" s="35"/>
      <c r="B95" s="35"/>
      <c r="C95" s="5" t="s">
        <v>1129</v>
      </c>
      <c r="D95" s="1459"/>
      <c r="E95" s="1219"/>
      <c r="F95" s="1361"/>
      <c r="G95" s="225"/>
      <c r="H95" s="813"/>
      <c r="I95" s="53"/>
      <c r="J95" s="109"/>
      <c r="K95" s="813"/>
      <c r="L95" s="106"/>
      <c r="M95" s="199"/>
      <c r="N95" s="194"/>
      <c r="O95" s="69"/>
      <c r="P95" s="69"/>
    </row>
    <row r="96" spans="1:16" s="12" customFormat="1" ht="45" hidden="1" customHeight="1">
      <c r="A96" s="35" t="s">
        <v>174</v>
      </c>
      <c r="B96" s="35" t="s">
        <v>175</v>
      </c>
      <c r="C96" s="5"/>
      <c r="D96" s="1459"/>
      <c r="E96" s="1219"/>
      <c r="F96" s="136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32" t="str">
        <f>INDEX(PT_DIFFERENTIATION_NTAR,MATCH(B96,PT_DIFFERENTIATION_NTAR_ID,0))</f>
        <v/>
      </c>
      <c r="H96" s="753"/>
      <c r="I96" s="938"/>
      <c r="J96" s="964"/>
      <c r="K96" s="357"/>
      <c r="L96" s="753" t="s">
        <v>305</v>
      </c>
      <c r="M96" s="199"/>
      <c r="N96" s="194"/>
      <c r="O96" s="69"/>
      <c r="P96" s="69"/>
    </row>
    <row r="97" spans="1:16" s="12" customFormat="1" ht="18.75" hidden="1" customHeight="1">
      <c r="A97" s="35"/>
      <c r="B97" s="35"/>
      <c r="C97" s="5" t="s">
        <v>1122</v>
      </c>
      <c r="D97" s="1459"/>
      <c r="E97" s="1219"/>
      <c r="F97" s="1361"/>
      <c r="G97" s="1432"/>
      <c r="H97" s="813"/>
      <c r="I97" s="53" t="s">
        <v>1121</v>
      </c>
      <c r="J97" s="109"/>
      <c r="K97" s="813"/>
      <c r="L97" s="106"/>
      <c r="M97" s="199"/>
      <c r="N97" s="194"/>
      <c r="O97" s="69"/>
      <c r="P97" s="69"/>
    </row>
    <row r="98" spans="1:16" s="12" customFormat="1" ht="0.75" hidden="1" customHeight="1">
      <c r="A98" s="35"/>
      <c r="B98" s="35"/>
      <c r="C98" s="5" t="s">
        <v>1129</v>
      </c>
      <c r="D98" s="1459"/>
      <c r="E98" s="1219"/>
      <c r="F98" s="1361"/>
      <c r="G98" s="225"/>
      <c r="H98" s="813"/>
      <c r="I98" s="53"/>
      <c r="J98" s="109"/>
      <c r="K98" s="813"/>
      <c r="L98" s="106"/>
      <c r="M98" s="199"/>
      <c r="N98" s="194"/>
      <c r="O98" s="69"/>
      <c r="P98" s="69"/>
    </row>
    <row r="99" spans="1:16" s="12" customFormat="1" ht="18.75" hidden="1" customHeight="1">
      <c r="A99" s="35" t="s">
        <v>180</v>
      </c>
      <c r="B99" s="35" t="s">
        <v>181</v>
      </c>
      <c r="C99" s="5"/>
      <c r="D99" s="1459"/>
      <c r="E99" s="1219"/>
      <c r="F99" s="1361" t="str">
        <f>INDEX(PT_DIFFERENTIATION_VTAR,MATCH(A99,PT_DIFFERENTIATION_VTAR_ID,0))</f>
        <v>Тарифы на услуги по передаче тепловой энергии</v>
      </c>
      <c r="G99" s="1432" t="str">
        <f>INDEX(PT_DIFFERENTIATION_NTAR,MATCH(B99,PT_DIFFERENTIATION_NTAR_ID,0))</f>
        <v/>
      </c>
      <c r="H99" s="753"/>
      <c r="I99" s="938"/>
      <c r="J99" s="964"/>
      <c r="K99" s="357"/>
      <c r="L99" s="753" t="s">
        <v>305</v>
      </c>
      <c r="M99" s="199"/>
      <c r="N99" s="194"/>
      <c r="O99" s="69"/>
      <c r="P99" s="69"/>
    </row>
    <row r="100" spans="1:16" s="12" customFormat="1" ht="18.75" hidden="1" customHeight="1">
      <c r="A100" s="35"/>
      <c r="B100" s="35"/>
      <c r="C100" s="5" t="s">
        <v>1122</v>
      </c>
      <c r="D100" s="1459"/>
      <c r="E100" s="1219"/>
      <c r="F100" s="1361"/>
      <c r="G100" s="1432"/>
      <c r="H100" s="813"/>
      <c r="I100" s="53" t="s">
        <v>1121</v>
      </c>
      <c r="J100" s="109"/>
      <c r="K100" s="813"/>
      <c r="L100" s="106"/>
      <c r="M100" s="199"/>
      <c r="N100" s="194"/>
      <c r="O100" s="69"/>
      <c r="P100" s="69"/>
    </row>
    <row r="101" spans="1:16" s="12" customFormat="1" ht="0.75" hidden="1" customHeight="1">
      <c r="A101" s="35"/>
      <c r="B101" s="35"/>
      <c r="C101" s="5" t="s">
        <v>1129</v>
      </c>
      <c r="D101" s="1459"/>
      <c r="E101" s="1219"/>
      <c r="F101" s="1361"/>
      <c r="G101" s="225"/>
      <c r="H101" s="813"/>
      <c r="I101" s="53"/>
      <c r="J101" s="109"/>
      <c r="K101" s="813"/>
      <c r="L101" s="106"/>
      <c r="M101" s="199"/>
      <c r="N101" s="194"/>
      <c r="O101" s="69"/>
      <c r="P101" s="69"/>
    </row>
    <row r="102" spans="1:16" s="12" customFormat="1" ht="18.75" hidden="1" customHeight="1">
      <c r="A102" s="35" t="s">
        <v>186</v>
      </c>
      <c r="B102" s="35" t="s">
        <v>187</v>
      </c>
      <c r="C102" s="5"/>
      <c r="D102" s="1459"/>
      <c r="E102" s="1219"/>
      <c r="F102" s="1361" t="str">
        <f>INDEX(PT_DIFFERENTIATION_VTAR,MATCH(A102,PT_DIFFERENTIATION_VTAR_ID,0))</f>
        <v>Тарифы на услуги по передаче теплоносителя</v>
      </c>
      <c r="G102" s="1432" t="str">
        <f>INDEX(PT_DIFFERENTIATION_NTAR,MATCH(B102,PT_DIFFERENTIATION_NTAR_ID,0))</f>
        <v/>
      </c>
      <c r="H102" s="753"/>
      <c r="I102" s="938"/>
      <c r="J102" s="964"/>
      <c r="K102" s="357"/>
      <c r="L102" s="753" t="s">
        <v>305</v>
      </c>
      <c r="M102" s="199"/>
      <c r="N102" s="194"/>
      <c r="O102" s="69"/>
      <c r="P102" s="69"/>
    </row>
    <row r="103" spans="1:16" s="12" customFormat="1" ht="18.75" hidden="1" customHeight="1">
      <c r="A103" s="35"/>
      <c r="B103" s="35"/>
      <c r="C103" s="5" t="s">
        <v>1122</v>
      </c>
      <c r="D103" s="1459"/>
      <c r="E103" s="1219"/>
      <c r="F103" s="1361"/>
      <c r="G103" s="1432"/>
      <c r="H103" s="813"/>
      <c r="I103" s="53" t="s">
        <v>1121</v>
      </c>
      <c r="J103" s="109"/>
      <c r="K103" s="813"/>
      <c r="L103" s="106"/>
      <c r="M103" s="199"/>
      <c r="N103" s="194"/>
      <c r="O103" s="69"/>
      <c r="P103" s="69"/>
    </row>
    <row r="104" spans="1:16" s="12" customFormat="1" ht="0.75" hidden="1" customHeight="1">
      <c r="A104" s="35"/>
      <c r="B104" s="35"/>
      <c r="C104" s="5" t="s">
        <v>1129</v>
      </c>
      <c r="D104" s="1459"/>
      <c r="E104" s="1219"/>
      <c r="F104" s="1361"/>
      <c r="G104" s="225"/>
      <c r="H104" s="813"/>
      <c r="I104" s="53"/>
      <c r="J104" s="109"/>
      <c r="K104" s="813"/>
      <c r="L104" s="106"/>
      <c r="M104" s="199"/>
      <c r="N104" s="194"/>
      <c r="O104" s="69"/>
      <c r="P104" s="69"/>
    </row>
    <row r="105" spans="1:16" s="12" customFormat="1" ht="18.75" hidden="1" customHeight="1">
      <c r="A105" s="35" t="s">
        <v>192</v>
      </c>
      <c r="B105" s="35" t="s">
        <v>193</v>
      </c>
      <c r="C105" s="5"/>
      <c r="D105" s="1459"/>
      <c r="E105" s="1219"/>
      <c r="F105" s="136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32" t="str">
        <f>INDEX(PT_DIFFERENTIATION_NTAR,MATCH(B105,PT_DIFFERENTIATION_NTAR_ID,0))</f>
        <v/>
      </c>
      <c r="H105" s="753"/>
      <c r="I105" s="938"/>
      <c r="J105" s="964"/>
      <c r="K105" s="357"/>
      <c r="L105" s="753" t="s">
        <v>305</v>
      </c>
      <c r="M105" s="199"/>
      <c r="N105" s="194"/>
      <c r="O105" s="69"/>
      <c r="P105" s="69"/>
    </row>
    <row r="106" spans="1:16" s="12" customFormat="1" ht="18.75" hidden="1" customHeight="1">
      <c r="A106" s="35"/>
      <c r="B106" s="35"/>
      <c r="C106" s="5" t="s">
        <v>1122</v>
      </c>
      <c r="D106" s="1459"/>
      <c r="E106" s="1219"/>
      <c r="F106" s="1361"/>
      <c r="G106" s="1432"/>
      <c r="H106" s="813"/>
      <c r="I106" s="53" t="s">
        <v>1121</v>
      </c>
      <c r="J106" s="109"/>
      <c r="K106" s="813"/>
      <c r="L106" s="106"/>
      <c r="M106" s="199"/>
      <c r="N106" s="194"/>
      <c r="O106" s="69"/>
      <c r="P106" s="69"/>
    </row>
    <row r="107" spans="1:16" s="12" customFormat="1" ht="0.75" hidden="1" customHeight="1">
      <c r="A107" s="35"/>
      <c r="B107" s="35"/>
      <c r="C107" s="5" t="s">
        <v>1129</v>
      </c>
      <c r="D107" s="1459"/>
      <c r="E107" s="1219"/>
      <c r="F107" s="1361"/>
      <c r="G107" s="225"/>
      <c r="H107" s="813"/>
      <c r="I107" s="53"/>
      <c r="J107" s="109"/>
      <c r="K107" s="813"/>
      <c r="L107" s="106"/>
      <c r="M107" s="199"/>
      <c r="N107" s="194"/>
      <c r="O107" s="69"/>
      <c r="P107" s="69"/>
    </row>
    <row r="108" spans="1:16" s="12" customFormat="1" ht="18.75" hidden="1" customHeight="1">
      <c r="A108" s="35" t="s">
        <v>198</v>
      </c>
      <c r="B108" s="35" t="s">
        <v>199</v>
      </c>
      <c r="C108" s="5"/>
      <c r="D108" s="1459"/>
      <c r="E108" s="1219"/>
      <c r="F108" s="1361" t="str">
        <f>INDEX(PT_DIFFERENTIATION_VTAR,MATCH(A108,PT_DIFFERENTIATION_VTAR_ID,0))</f>
        <v>Плата за подключение (технологическое присоединение) к системе теплоснабжения</v>
      </c>
      <c r="G108" s="1432" t="str">
        <f>INDEX(PT_DIFFERENTIATION_NTAR,MATCH(B108,PT_DIFFERENTIATION_NTAR_ID,0))</f>
        <v/>
      </c>
      <c r="H108" s="753"/>
      <c r="I108" s="938"/>
      <c r="J108" s="964"/>
      <c r="K108" s="357"/>
      <c r="L108" s="753" t="s">
        <v>305</v>
      </c>
      <c r="M108" s="199"/>
      <c r="N108" s="194"/>
      <c r="O108" s="69"/>
      <c r="P108" s="69"/>
    </row>
    <row r="109" spans="1:16" s="12" customFormat="1" ht="18.75" hidden="1" customHeight="1">
      <c r="A109" s="35"/>
      <c r="B109" s="35"/>
      <c r="C109" s="5" t="s">
        <v>1122</v>
      </c>
      <c r="D109" s="1459"/>
      <c r="E109" s="1219"/>
      <c r="F109" s="1361"/>
      <c r="G109" s="1432"/>
      <c r="H109" s="813"/>
      <c r="I109" s="53" t="s">
        <v>1121</v>
      </c>
      <c r="J109" s="109"/>
      <c r="K109" s="813"/>
      <c r="L109" s="106"/>
      <c r="M109" s="199"/>
      <c r="N109" s="194"/>
      <c r="O109" s="69"/>
      <c r="P109" s="69"/>
    </row>
    <row r="110" spans="1:16" s="12" customFormat="1" ht="0.75" hidden="1" customHeight="1">
      <c r="A110" s="35"/>
      <c r="B110" s="35"/>
      <c r="C110" s="5" t="s">
        <v>1129</v>
      </c>
      <c r="D110" s="1459"/>
      <c r="E110" s="1219"/>
      <c r="F110" s="1361"/>
      <c r="G110" s="225"/>
      <c r="H110" s="813"/>
      <c r="I110" s="53"/>
      <c r="J110" s="109"/>
      <c r="K110" s="813"/>
      <c r="L110" s="106"/>
      <c r="M110" s="199"/>
      <c r="N110" s="194"/>
      <c r="O110" s="69"/>
      <c r="P110" s="69"/>
    </row>
    <row r="111" spans="1:16" s="12" customFormat="1" ht="18.75" hidden="1" customHeight="1">
      <c r="A111" s="35" t="s">
        <v>204</v>
      </c>
      <c r="B111" s="35" t="s">
        <v>205</v>
      </c>
      <c r="C111" s="5"/>
      <c r="D111" s="1459"/>
      <c r="E111" s="1219"/>
      <c r="F111" s="1361" t="str">
        <f>INDEX(PT_DIFFERENTIATION_VTAR,MATCH(A111,PT_DIFFERENTIATION_VTAR_ID,0))</f>
        <v>Плата за подключение (технологическое присоединение) к системе теплоснабжения (индивидуальная)</v>
      </c>
      <c r="G111" s="1432" t="str">
        <f>INDEX(PT_DIFFERENTIATION_NTAR,MATCH(B111,PT_DIFFERENTIATION_NTAR_ID,0))</f>
        <v/>
      </c>
      <c r="H111" s="753"/>
      <c r="I111" s="938"/>
      <c r="J111" s="964"/>
      <c r="K111" s="357"/>
      <c r="L111" s="753" t="s">
        <v>305</v>
      </c>
      <c r="M111" s="199"/>
      <c r="N111" s="194"/>
      <c r="O111" s="69"/>
      <c r="P111" s="69"/>
    </row>
    <row r="112" spans="1:16" s="12" customFormat="1" ht="18.75" hidden="1" customHeight="1">
      <c r="A112" s="35"/>
      <c r="B112" s="35"/>
      <c r="C112" s="5" t="s">
        <v>1122</v>
      </c>
      <c r="D112" s="1459"/>
      <c r="E112" s="1219"/>
      <c r="F112" s="1361"/>
      <c r="G112" s="1432"/>
      <c r="H112" s="813"/>
      <c r="I112" s="53" t="s">
        <v>1121</v>
      </c>
      <c r="J112" s="109"/>
      <c r="K112" s="813"/>
      <c r="L112" s="106"/>
      <c r="M112" s="199"/>
      <c r="N112" s="194"/>
      <c r="O112" s="69"/>
      <c r="P112" s="69"/>
    </row>
    <row r="113" spans="1:16" s="12" customFormat="1" ht="0.75" hidden="1" customHeight="1">
      <c r="A113" s="35"/>
      <c r="B113" s="35"/>
      <c r="C113" s="5" t="s">
        <v>1129</v>
      </c>
      <c r="D113" s="1459"/>
      <c r="E113" s="1219"/>
      <c r="F113" s="1361"/>
      <c r="G113" s="225"/>
      <c r="H113" s="813"/>
      <c r="I113" s="53"/>
      <c r="J113" s="109"/>
      <c r="K113" s="813"/>
      <c r="L113" s="106"/>
      <c r="M113" s="199"/>
      <c r="N113" s="194"/>
      <c r="O113" s="69"/>
      <c r="P113" s="69"/>
    </row>
    <row r="114" spans="1:16" s="12" customFormat="1" ht="18.75" hidden="1" customHeight="1">
      <c r="A114" s="35" t="s">
        <v>224</v>
      </c>
      <c r="B114" s="35" t="s">
        <v>225</v>
      </c>
      <c r="C114" s="5"/>
      <c r="D114" s="1459"/>
      <c r="E114" s="1219"/>
      <c r="F114" s="1361" t="str">
        <f>INDEX(PT_DIFFERENTIATION_VTAR,MATCH(A114,PT_DIFFERENTIATION_VTAR_ID,0))</f>
        <v>Тариф на питьевую воду (питьевое водоснабжение)</v>
      </c>
      <c r="G114" s="1432" t="str">
        <f>INDEX(PT_DIFFERENTIATION_NTAR,MATCH(B114,PT_DIFFERENTIATION_NTAR_ID,0))</f>
        <v/>
      </c>
      <c r="H114" s="753"/>
      <c r="I114" s="938"/>
      <c r="J114" s="964"/>
      <c r="K114" s="357"/>
      <c r="L114" s="753" t="s">
        <v>305</v>
      </c>
      <c r="M114" s="199"/>
      <c r="N114" s="194"/>
      <c r="O114" s="69"/>
      <c r="P114" s="69"/>
    </row>
    <row r="115" spans="1:16" s="12" customFormat="1" ht="18.75" hidden="1" customHeight="1">
      <c r="A115" s="35"/>
      <c r="B115" s="35"/>
      <c r="C115" s="5" t="s">
        <v>1122</v>
      </c>
      <c r="D115" s="1459"/>
      <c r="E115" s="1219"/>
      <c r="F115" s="1361"/>
      <c r="G115" s="1432"/>
      <c r="H115" s="813"/>
      <c r="I115" s="53" t="s">
        <v>1121</v>
      </c>
      <c r="J115" s="109"/>
      <c r="K115" s="813"/>
      <c r="L115" s="106"/>
      <c r="M115" s="199"/>
      <c r="N115" s="194"/>
      <c r="O115" s="69"/>
      <c r="P115" s="69"/>
    </row>
    <row r="116" spans="1:16" s="12" customFormat="1" ht="0.75" hidden="1" customHeight="1">
      <c r="A116" s="35"/>
      <c r="B116" s="35"/>
      <c r="C116" s="5" t="s">
        <v>1129</v>
      </c>
      <c r="D116" s="1459"/>
      <c r="E116" s="1219"/>
      <c r="F116" s="1361"/>
      <c r="G116" s="225"/>
      <c r="H116" s="813"/>
      <c r="I116" s="53"/>
      <c r="J116" s="109"/>
      <c r="K116" s="813"/>
      <c r="L116" s="106"/>
      <c r="M116" s="199"/>
      <c r="N116" s="194"/>
      <c r="O116" s="69"/>
      <c r="P116" s="69"/>
    </row>
    <row r="117" spans="1:16" s="12" customFormat="1" ht="18.75" hidden="1" customHeight="1">
      <c r="A117" s="35" t="s">
        <v>229</v>
      </c>
      <c r="B117" s="35" t="s">
        <v>230</v>
      </c>
      <c r="C117" s="5"/>
      <c r="D117" s="1459"/>
      <c r="E117" s="1219"/>
      <c r="F117" s="1361" t="str">
        <f>INDEX(PT_DIFFERENTIATION_VTAR,MATCH(A117,PT_DIFFERENTIATION_VTAR_ID,0))</f>
        <v>Тариф на техническую воду</v>
      </c>
      <c r="G117" s="1432" t="str">
        <f>INDEX(PT_DIFFERENTIATION_NTAR,MATCH(B117,PT_DIFFERENTIATION_NTAR_ID,0))</f>
        <v/>
      </c>
      <c r="H117" s="753"/>
      <c r="I117" s="938"/>
      <c r="J117" s="964"/>
      <c r="K117" s="357"/>
      <c r="L117" s="753" t="s">
        <v>305</v>
      </c>
      <c r="M117" s="199"/>
      <c r="N117" s="194"/>
      <c r="O117" s="69"/>
      <c r="P117" s="69"/>
    </row>
    <row r="118" spans="1:16" s="12" customFormat="1" ht="18.75" hidden="1" customHeight="1">
      <c r="A118" s="35"/>
      <c r="B118" s="35"/>
      <c r="C118" s="5" t="s">
        <v>1122</v>
      </c>
      <c r="D118" s="1459"/>
      <c r="E118" s="1219"/>
      <c r="F118" s="1361"/>
      <c r="G118" s="1432"/>
      <c r="H118" s="813"/>
      <c r="I118" s="53" t="s">
        <v>1121</v>
      </c>
      <c r="J118" s="109"/>
      <c r="K118" s="813"/>
      <c r="L118" s="106"/>
      <c r="M118" s="199"/>
      <c r="N118" s="194"/>
      <c r="O118" s="69"/>
      <c r="P118" s="69"/>
    </row>
    <row r="119" spans="1:16" s="12" customFormat="1" ht="0.75" hidden="1" customHeight="1">
      <c r="A119" s="35"/>
      <c r="B119" s="35"/>
      <c r="C119" s="5" t="s">
        <v>1129</v>
      </c>
      <c r="D119" s="1459"/>
      <c r="E119" s="1219"/>
      <c r="F119" s="1361"/>
      <c r="G119" s="225"/>
      <c r="H119" s="813"/>
      <c r="I119" s="53"/>
      <c r="J119" s="109"/>
      <c r="K119" s="813"/>
      <c r="L119" s="106"/>
      <c r="M119" s="199"/>
      <c r="N119" s="194"/>
      <c r="O119" s="69"/>
      <c r="P119" s="69"/>
    </row>
    <row r="120" spans="1:16" s="12" customFormat="1" ht="18.75" hidden="1" customHeight="1">
      <c r="A120" s="35" t="s">
        <v>234</v>
      </c>
      <c r="B120" s="35" t="s">
        <v>235</v>
      </c>
      <c r="C120" s="5"/>
      <c r="D120" s="1459"/>
      <c r="E120" s="1219"/>
      <c r="F120" s="1361" t="str">
        <f>INDEX(PT_DIFFERENTIATION_VTAR,MATCH(A120,PT_DIFFERENTIATION_VTAR_ID,0))</f>
        <v>Тариф на транспортировку воды</v>
      </c>
      <c r="G120" s="1432" t="str">
        <f>INDEX(PT_DIFFERENTIATION_NTAR,MATCH(B120,PT_DIFFERENTIATION_NTAR_ID,0))</f>
        <v/>
      </c>
      <c r="H120" s="753"/>
      <c r="I120" s="938"/>
      <c r="J120" s="964"/>
      <c r="K120" s="357"/>
      <c r="L120" s="753" t="s">
        <v>305</v>
      </c>
      <c r="M120" s="199"/>
      <c r="N120" s="194"/>
      <c r="O120" s="69"/>
      <c r="P120" s="69"/>
    </row>
    <row r="121" spans="1:16" s="12" customFormat="1" ht="18.75" hidden="1" customHeight="1">
      <c r="A121" s="35"/>
      <c r="B121" s="35"/>
      <c r="C121" s="5" t="s">
        <v>1122</v>
      </c>
      <c r="D121" s="1459"/>
      <c r="E121" s="1219"/>
      <c r="F121" s="1361"/>
      <c r="G121" s="1432"/>
      <c r="H121" s="813"/>
      <c r="I121" s="53" t="s">
        <v>1121</v>
      </c>
      <c r="J121" s="109"/>
      <c r="K121" s="813"/>
      <c r="L121" s="106"/>
      <c r="M121" s="199"/>
      <c r="N121" s="194"/>
      <c r="O121" s="69"/>
      <c r="P121" s="69"/>
    </row>
    <row r="122" spans="1:16" s="12" customFormat="1" ht="0.75" hidden="1" customHeight="1">
      <c r="A122" s="35"/>
      <c r="B122" s="35"/>
      <c r="C122" s="5" t="s">
        <v>1129</v>
      </c>
      <c r="D122" s="1459"/>
      <c r="E122" s="1219"/>
      <c r="F122" s="1361"/>
      <c r="G122" s="225"/>
      <c r="H122" s="813"/>
      <c r="I122" s="53"/>
      <c r="J122" s="109"/>
      <c r="K122" s="813"/>
      <c r="L122" s="106"/>
      <c r="M122" s="199"/>
      <c r="N122" s="194"/>
      <c r="O122" s="69"/>
      <c r="P122" s="69"/>
    </row>
    <row r="123" spans="1:16" s="12" customFormat="1" ht="18.75" hidden="1" customHeight="1">
      <c r="A123" s="35" t="s">
        <v>239</v>
      </c>
      <c r="B123" s="35" t="s">
        <v>240</v>
      </c>
      <c r="C123" s="5"/>
      <c r="D123" s="1459"/>
      <c r="E123" s="1219"/>
      <c r="F123" s="1361" t="str">
        <f>INDEX(PT_DIFFERENTIATION_VTAR,MATCH(A123,PT_DIFFERENTIATION_VTAR_ID,0))</f>
        <v>Тариф на подвоз воды</v>
      </c>
      <c r="G123" s="1432" t="str">
        <f>INDEX(PT_DIFFERENTIATION_NTAR,MATCH(B123,PT_DIFFERENTIATION_NTAR_ID,0))</f>
        <v/>
      </c>
      <c r="H123" s="753"/>
      <c r="I123" s="938"/>
      <c r="J123" s="964"/>
      <c r="K123" s="357"/>
      <c r="L123" s="753" t="s">
        <v>305</v>
      </c>
      <c r="M123" s="199"/>
      <c r="N123" s="194"/>
      <c r="O123" s="69"/>
      <c r="P123" s="69"/>
    </row>
    <row r="124" spans="1:16" s="12" customFormat="1" ht="18.75" hidden="1" customHeight="1">
      <c r="A124" s="35"/>
      <c r="B124" s="35"/>
      <c r="C124" s="5" t="s">
        <v>1122</v>
      </c>
      <c r="D124" s="1459"/>
      <c r="E124" s="1219"/>
      <c r="F124" s="1361"/>
      <c r="G124" s="1432"/>
      <c r="H124" s="813"/>
      <c r="I124" s="53" t="s">
        <v>1121</v>
      </c>
      <c r="J124" s="109"/>
      <c r="K124" s="813"/>
      <c r="L124" s="106"/>
      <c r="M124" s="199"/>
      <c r="N124" s="194"/>
      <c r="O124" s="69"/>
      <c r="P124" s="69"/>
    </row>
    <row r="125" spans="1:16" s="12" customFormat="1" ht="0.75" hidden="1" customHeight="1">
      <c r="A125" s="35"/>
      <c r="B125" s="35"/>
      <c r="C125" s="5" t="s">
        <v>1129</v>
      </c>
      <c r="D125" s="1459"/>
      <c r="E125" s="1219"/>
      <c r="F125" s="1361"/>
      <c r="G125" s="225"/>
      <c r="H125" s="813"/>
      <c r="I125" s="53"/>
      <c r="J125" s="109"/>
      <c r="K125" s="813"/>
      <c r="L125" s="106"/>
      <c r="M125" s="199"/>
      <c r="N125" s="194"/>
      <c r="O125" s="69"/>
      <c r="P125" s="69"/>
    </row>
    <row r="126" spans="1:16" s="12" customFormat="1" ht="18.75" hidden="1" customHeight="1">
      <c r="A126" s="35" t="s">
        <v>244</v>
      </c>
      <c r="B126" s="35" t="s">
        <v>245</v>
      </c>
      <c r="C126" s="5"/>
      <c r="D126" s="1459"/>
      <c r="E126" s="1219"/>
      <c r="F126" s="136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32" t="str">
        <f>INDEX(PT_DIFFERENTIATION_NTAR,MATCH(B126,PT_DIFFERENTIATION_NTAR_ID,0))</f>
        <v/>
      </c>
      <c r="H126" s="753"/>
      <c r="I126" s="938"/>
      <c r="J126" s="964"/>
      <c r="K126" s="357"/>
      <c r="L126" s="753" t="s">
        <v>305</v>
      </c>
      <c r="M126" s="199"/>
      <c r="N126" s="194"/>
      <c r="O126" s="69"/>
      <c r="P126" s="69"/>
    </row>
    <row r="127" spans="1:16" s="12" customFormat="1" ht="18.75" hidden="1" customHeight="1">
      <c r="A127" s="35"/>
      <c r="B127" s="35"/>
      <c r="C127" s="5" t="s">
        <v>1122</v>
      </c>
      <c r="D127" s="1459"/>
      <c r="E127" s="1219"/>
      <c r="F127" s="1361"/>
      <c r="G127" s="1432"/>
      <c r="H127" s="813"/>
      <c r="I127" s="53" t="s">
        <v>1121</v>
      </c>
      <c r="J127" s="109"/>
      <c r="K127" s="813"/>
      <c r="L127" s="106"/>
      <c r="M127" s="199"/>
      <c r="N127" s="194"/>
      <c r="O127" s="69"/>
      <c r="P127" s="69"/>
    </row>
    <row r="128" spans="1:16" s="12" customFormat="1" ht="0.75" hidden="1" customHeight="1">
      <c r="A128" s="35"/>
      <c r="B128" s="35"/>
      <c r="C128" s="5" t="s">
        <v>1129</v>
      </c>
      <c r="D128" s="1459"/>
      <c r="E128" s="1219"/>
      <c r="F128" s="1361"/>
      <c r="G128" s="225"/>
      <c r="H128" s="813"/>
      <c r="I128" s="53"/>
      <c r="J128" s="109"/>
      <c r="K128" s="813"/>
      <c r="L128" s="106"/>
      <c r="M128" s="199"/>
      <c r="N128" s="194"/>
      <c r="O128" s="69"/>
      <c r="P128" s="69"/>
    </row>
    <row r="129" spans="1:16" s="12" customFormat="1" ht="18.75" hidden="1" customHeight="1">
      <c r="A129" s="35" t="s">
        <v>249</v>
      </c>
      <c r="B129" s="35" t="s">
        <v>250</v>
      </c>
      <c r="C129" s="5"/>
      <c r="D129" s="1459"/>
      <c r="E129" s="1219"/>
      <c r="F129" s="1361" t="str">
        <f>INDEX(PT_DIFFERENTIATION_VTAR,MATCH(A129,PT_DIFFERENTIATION_VTAR_ID,0))</f>
        <v>Тариф на горячую воду (горячее водоснабжение)</v>
      </c>
      <c r="G129" s="1432" t="str">
        <f>INDEX(PT_DIFFERENTIATION_NTAR,MATCH(B129,PT_DIFFERENTIATION_NTAR_ID,0))</f>
        <v/>
      </c>
      <c r="H129" s="753"/>
      <c r="I129" s="938"/>
      <c r="J129" s="964"/>
      <c r="K129" s="357"/>
      <c r="L129" s="753" t="s">
        <v>305</v>
      </c>
      <c r="M129" s="199"/>
      <c r="N129" s="194"/>
      <c r="O129" s="69"/>
      <c r="P129" s="69"/>
    </row>
    <row r="130" spans="1:16" s="12" customFormat="1" ht="18.75" hidden="1" customHeight="1">
      <c r="A130" s="35"/>
      <c r="B130" s="35"/>
      <c r="C130" s="5" t="s">
        <v>1122</v>
      </c>
      <c r="D130" s="1459"/>
      <c r="E130" s="1219"/>
      <c r="F130" s="1361"/>
      <c r="G130" s="1432"/>
      <c r="H130" s="813"/>
      <c r="I130" s="53" t="s">
        <v>1121</v>
      </c>
      <c r="J130" s="109"/>
      <c r="K130" s="813"/>
      <c r="L130" s="106"/>
      <c r="M130" s="199"/>
      <c r="N130" s="194"/>
      <c r="O130" s="69"/>
      <c r="P130" s="69"/>
    </row>
    <row r="131" spans="1:16" s="12" customFormat="1" ht="0.75" hidden="1" customHeight="1">
      <c r="A131" s="35"/>
      <c r="B131" s="35"/>
      <c r="C131" s="5" t="s">
        <v>1129</v>
      </c>
      <c r="D131" s="1459"/>
      <c r="E131" s="1219"/>
      <c r="F131" s="1361"/>
      <c r="G131" s="225"/>
      <c r="H131" s="813"/>
      <c r="I131" s="53"/>
      <c r="J131" s="109"/>
      <c r="K131" s="813"/>
      <c r="L131" s="106"/>
      <c r="M131" s="199"/>
      <c r="N131" s="194"/>
      <c r="O131" s="69"/>
      <c r="P131" s="69"/>
    </row>
    <row r="132" spans="1:16" s="12" customFormat="1" ht="18.75" hidden="1" customHeight="1">
      <c r="A132" s="35" t="s">
        <v>254</v>
      </c>
      <c r="B132" s="35" t="s">
        <v>255</v>
      </c>
      <c r="C132" s="5"/>
      <c r="D132" s="1459"/>
      <c r="E132" s="1219"/>
      <c r="F132" s="1361" t="str">
        <f>INDEX(PT_DIFFERENTIATION_VTAR,MATCH(A132,PT_DIFFERENTIATION_VTAR_ID,0))</f>
        <v>Тариф на транспортировку горячей воды</v>
      </c>
      <c r="G132" s="1432" t="str">
        <f>INDEX(PT_DIFFERENTIATION_NTAR,MATCH(B132,PT_DIFFERENTIATION_NTAR_ID,0))</f>
        <v/>
      </c>
      <c r="H132" s="753"/>
      <c r="I132" s="938"/>
      <c r="J132" s="964"/>
      <c r="K132" s="357"/>
      <c r="L132" s="753" t="s">
        <v>305</v>
      </c>
      <c r="M132" s="199"/>
      <c r="N132" s="194"/>
      <c r="O132" s="69"/>
      <c r="P132" s="69"/>
    </row>
    <row r="133" spans="1:16" s="12" customFormat="1" ht="18.75" hidden="1" customHeight="1">
      <c r="A133" s="35"/>
      <c r="B133" s="35"/>
      <c r="C133" s="5" t="s">
        <v>1122</v>
      </c>
      <c r="D133" s="1459"/>
      <c r="E133" s="1219"/>
      <c r="F133" s="1361"/>
      <c r="G133" s="1432"/>
      <c r="H133" s="813"/>
      <c r="I133" s="53" t="s">
        <v>1121</v>
      </c>
      <c r="J133" s="109"/>
      <c r="K133" s="813"/>
      <c r="L133" s="106"/>
      <c r="M133" s="199"/>
      <c r="N133" s="194"/>
      <c r="O133" s="69"/>
      <c r="P133" s="69"/>
    </row>
    <row r="134" spans="1:16" s="12" customFormat="1" ht="0.75" hidden="1" customHeight="1">
      <c r="A134" s="35"/>
      <c r="B134" s="35"/>
      <c r="C134" s="5" t="s">
        <v>1129</v>
      </c>
      <c r="D134" s="1459"/>
      <c r="E134" s="1219"/>
      <c r="F134" s="1361"/>
      <c r="G134" s="225"/>
      <c r="H134" s="813"/>
      <c r="I134" s="53"/>
      <c r="J134" s="109"/>
      <c r="K134" s="813"/>
      <c r="L134" s="106"/>
      <c r="M134" s="199"/>
      <c r="N134" s="194"/>
      <c r="O134" s="69"/>
      <c r="P134" s="69"/>
    </row>
    <row r="135" spans="1:16" s="12" customFormat="1" ht="18.75" hidden="1" customHeight="1">
      <c r="A135" s="35" t="s">
        <v>259</v>
      </c>
      <c r="B135" s="35" t="s">
        <v>260</v>
      </c>
      <c r="C135" s="5"/>
      <c r="D135" s="1459"/>
      <c r="E135" s="1219"/>
      <c r="F135" s="1361"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32" t="str">
        <f>INDEX(PT_DIFFERENTIATION_NTAR,MATCH(B135,PT_DIFFERENTIATION_NTAR_ID,0))</f>
        <v/>
      </c>
      <c r="H135" s="753"/>
      <c r="I135" s="938"/>
      <c r="J135" s="964"/>
      <c r="K135" s="357"/>
      <c r="L135" s="753" t="s">
        <v>305</v>
      </c>
      <c r="M135" s="199"/>
      <c r="N135" s="194"/>
      <c r="O135" s="69"/>
      <c r="P135" s="69"/>
    </row>
    <row r="136" spans="1:16" s="12" customFormat="1" ht="18.75" hidden="1" customHeight="1">
      <c r="A136" s="35"/>
      <c r="B136" s="35"/>
      <c r="C136" s="5" t="s">
        <v>1122</v>
      </c>
      <c r="D136" s="1459"/>
      <c r="E136" s="1219"/>
      <c r="F136" s="1361"/>
      <c r="G136" s="1432"/>
      <c r="H136" s="813"/>
      <c r="I136" s="53" t="s">
        <v>1121</v>
      </c>
      <c r="J136" s="109"/>
      <c r="K136" s="813"/>
      <c r="L136" s="106"/>
      <c r="M136" s="199"/>
      <c r="N136" s="194"/>
      <c r="O136" s="69"/>
      <c r="P136" s="69"/>
    </row>
    <row r="137" spans="1:16" s="12" customFormat="1" ht="0.75" hidden="1" customHeight="1">
      <c r="A137" s="35"/>
      <c r="B137" s="35"/>
      <c r="C137" s="5" t="s">
        <v>1129</v>
      </c>
      <c r="D137" s="1459"/>
      <c r="E137" s="1219"/>
      <c r="F137" s="1361"/>
      <c r="G137" s="225"/>
      <c r="H137" s="813"/>
      <c r="I137" s="53"/>
      <c r="J137" s="109"/>
      <c r="K137" s="813"/>
      <c r="L137" s="106"/>
      <c r="M137" s="199"/>
      <c r="N137" s="194"/>
      <c r="O137" s="69"/>
      <c r="P137" s="69"/>
    </row>
    <row r="138" spans="1:16" s="12" customFormat="1" ht="18.75" hidden="1" customHeight="1">
      <c r="A138" s="35" t="s">
        <v>264</v>
      </c>
      <c r="B138" s="35" t="s">
        <v>265</v>
      </c>
      <c r="C138" s="5"/>
      <c r="D138" s="1459"/>
      <c r="E138" s="1219"/>
      <c r="F138" s="1361" t="str">
        <f>INDEX(PT_DIFFERENTIATION_VTAR,MATCH(A138,PT_DIFFERENTIATION_VTAR_ID,0))</f>
        <v>Тариф на водоотведение</v>
      </c>
      <c r="G138" s="1432" t="str">
        <f>INDEX(PT_DIFFERENTIATION_NTAR,MATCH(B138,PT_DIFFERENTIATION_NTAR_ID,0))</f>
        <v/>
      </c>
      <c r="H138" s="753"/>
      <c r="I138" s="938"/>
      <c r="J138" s="964"/>
      <c r="K138" s="357"/>
      <c r="L138" s="753" t="s">
        <v>305</v>
      </c>
      <c r="M138" s="199"/>
      <c r="N138" s="194"/>
      <c r="O138" s="69"/>
      <c r="P138" s="69"/>
    </row>
    <row r="139" spans="1:16" s="12" customFormat="1" ht="18.75" hidden="1" customHeight="1">
      <c r="A139" s="35"/>
      <c r="B139" s="35"/>
      <c r="C139" s="5" t="s">
        <v>1122</v>
      </c>
      <c r="D139" s="1459"/>
      <c r="E139" s="1219"/>
      <c r="F139" s="1361"/>
      <c r="G139" s="1432"/>
      <c r="H139" s="813"/>
      <c r="I139" s="53" t="s">
        <v>1121</v>
      </c>
      <c r="J139" s="109"/>
      <c r="K139" s="813"/>
      <c r="L139" s="106"/>
      <c r="M139" s="199"/>
      <c r="N139" s="194"/>
      <c r="O139" s="69"/>
      <c r="P139" s="69"/>
    </row>
    <row r="140" spans="1:16" s="12" customFormat="1" ht="0.75" hidden="1" customHeight="1">
      <c r="A140" s="35"/>
      <c r="B140" s="35"/>
      <c r="C140" s="5" t="s">
        <v>1129</v>
      </c>
      <c r="D140" s="1459"/>
      <c r="E140" s="1219"/>
      <c r="F140" s="1361"/>
      <c r="G140" s="225"/>
      <c r="H140" s="813"/>
      <c r="I140" s="53"/>
      <c r="J140" s="109"/>
      <c r="K140" s="813"/>
      <c r="L140" s="106"/>
      <c r="M140" s="199"/>
      <c r="N140" s="194"/>
      <c r="O140" s="69"/>
      <c r="P140" s="69"/>
    </row>
    <row r="141" spans="1:16" s="12" customFormat="1" ht="18.75" hidden="1" customHeight="1">
      <c r="A141" s="35" t="s">
        <v>269</v>
      </c>
      <c r="B141" s="35" t="s">
        <v>270</v>
      </c>
      <c r="C141" s="5"/>
      <c r="D141" s="1459"/>
      <c r="E141" s="1219"/>
      <c r="F141" s="1361" t="str">
        <f>INDEX(PT_DIFFERENTIATION_VTAR,MATCH(A141,PT_DIFFERENTIATION_VTAR_ID,0))</f>
        <v>Тариф на транспортировку сточных вод</v>
      </c>
      <c r="G141" s="1432" t="str">
        <f>INDEX(PT_DIFFERENTIATION_NTAR,MATCH(B141,PT_DIFFERENTIATION_NTAR_ID,0))</f>
        <v/>
      </c>
      <c r="H141" s="753"/>
      <c r="I141" s="938"/>
      <c r="J141" s="964"/>
      <c r="K141" s="357"/>
      <c r="L141" s="753" t="s">
        <v>305</v>
      </c>
      <c r="M141" s="199"/>
      <c r="N141" s="194"/>
      <c r="O141" s="69"/>
      <c r="P141" s="69"/>
    </row>
    <row r="142" spans="1:16" s="12" customFormat="1" ht="18.75" hidden="1" customHeight="1">
      <c r="A142" s="35"/>
      <c r="B142" s="35"/>
      <c r="C142" s="5" t="s">
        <v>1122</v>
      </c>
      <c r="D142" s="1459"/>
      <c r="E142" s="1219"/>
      <c r="F142" s="1361"/>
      <c r="G142" s="1432"/>
      <c r="H142" s="813"/>
      <c r="I142" s="53" t="s">
        <v>1121</v>
      </c>
      <c r="J142" s="109"/>
      <c r="K142" s="813"/>
      <c r="L142" s="106"/>
      <c r="M142" s="199"/>
      <c r="N142" s="194"/>
      <c r="O142" s="69"/>
      <c r="P142" s="69"/>
    </row>
    <row r="143" spans="1:16" s="12" customFormat="1" ht="0.75" hidden="1" customHeight="1">
      <c r="A143" s="35"/>
      <c r="B143" s="35"/>
      <c r="C143" s="5" t="s">
        <v>1129</v>
      </c>
      <c r="D143" s="1459"/>
      <c r="E143" s="1219"/>
      <c r="F143" s="1361"/>
      <c r="G143" s="225"/>
      <c r="H143" s="813"/>
      <c r="I143" s="53"/>
      <c r="J143" s="109"/>
      <c r="K143" s="813"/>
      <c r="L143" s="106"/>
      <c r="M143" s="199"/>
      <c r="N143" s="194"/>
      <c r="O143" s="69"/>
      <c r="P143" s="69"/>
    </row>
    <row r="144" spans="1:16" s="12" customFormat="1" ht="18.75" hidden="1" customHeight="1">
      <c r="A144" s="35" t="s">
        <v>274</v>
      </c>
      <c r="B144" s="35" t="s">
        <v>275</v>
      </c>
      <c r="C144" s="5"/>
      <c r="D144" s="1459"/>
      <c r="E144" s="1219"/>
      <c r="F144" s="1361" t="str">
        <f>INDEX(PT_DIFFERENTIATION_VTAR,MATCH(A144,PT_DIFFERENTIATION_VTAR_ID,0))</f>
        <v>Тариф на подключение (технологическое присоединение) к централизованной системе водоотведения</v>
      </c>
      <c r="G144" s="1432" t="str">
        <f>INDEX(PT_DIFFERENTIATION_NTAR,MATCH(B144,PT_DIFFERENTIATION_NTAR_ID,0))</f>
        <v/>
      </c>
      <c r="H144" s="753"/>
      <c r="I144" s="938"/>
      <c r="J144" s="964"/>
      <c r="K144" s="357"/>
      <c r="L144" s="753" t="s">
        <v>305</v>
      </c>
      <c r="M144" s="199"/>
      <c r="N144" s="194"/>
      <c r="O144" s="69"/>
      <c r="P144" s="69"/>
    </row>
    <row r="145" spans="1:16" s="12" customFormat="1" ht="18.75" hidden="1" customHeight="1">
      <c r="A145" s="35"/>
      <c r="B145" s="35"/>
      <c r="C145" s="5" t="s">
        <v>1122</v>
      </c>
      <c r="D145" s="1459"/>
      <c r="E145" s="1219"/>
      <c r="F145" s="1361"/>
      <c r="G145" s="1432"/>
      <c r="H145" s="813"/>
      <c r="I145" s="53" t="s">
        <v>1121</v>
      </c>
      <c r="J145" s="109"/>
      <c r="K145" s="813"/>
      <c r="L145" s="106"/>
      <c r="M145" s="199"/>
      <c r="N145" s="194"/>
      <c r="O145" s="69"/>
      <c r="P145" s="69"/>
    </row>
    <row r="146" spans="1:16" s="12" customFormat="1" ht="0.75" customHeight="1">
      <c r="A146" s="35"/>
      <c r="B146" s="35"/>
      <c r="C146" s="5" t="s">
        <v>1129</v>
      </c>
      <c r="D146" s="1459"/>
      <c r="E146" s="1219"/>
      <c r="F146" s="1361"/>
      <c r="G146" s="225"/>
      <c r="H146" s="813"/>
      <c r="I146" s="53"/>
      <c r="J146" s="109"/>
      <c r="K146" s="813"/>
      <c r="L146" s="106"/>
      <c r="M146" s="199"/>
      <c r="N146" s="194"/>
      <c r="O146" s="69"/>
      <c r="P146" s="69"/>
    </row>
    <row r="147" spans="1:16" ht="18.75" customHeight="1">
      <c r="A147" s="35"/>
      <c r="B147" s="35"/>
      <c r="D147" s="29"/>
      <c r="E147" s="64" t="s">
        <v>87</v>
      </c>
      <c r="F147" s="145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1458"/>
      <c r="H147" s="1458"/>
      <c r="I147" s="1458"/>
      <c r="J147" s="1458"/>
      <c r="K147" s="1458"/>
      <c r="L147" s="1458"/>
      <c r="M147" s="112"/>
      <c r="N147" s="194"/>
    </row>
    <row r="148" spans="1:16" s="12" customFormat="1" ht="60.75" hidden="1" customHeight="1">
      <c r="A148" s="35" t="s">
        <v>156</v>
      </c>
      <c r="B148" s="35" t="s">
        <v>157</v>
      </c>
      <c r="C148" s="5"/>
      <c r="D148" s="1459"/>
      <c r="E148" s="1219"/>
      <c r="F148" s="136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32" t="str">
        <f>INDEX(PT_DIFFERENTIATION_NTAR,MATCH(B148,PT_DIFFERENTIATION_NTAR_ID,0))</f>
        <v/>
      </c>
      <c r="H148" s="753"/>
      <c r="I148" s="938"/>
      <c r="J148" s="964"/>
      <c r="K148" s="357"/>
      <c r="L148" s="753" t="s">
        <v>305</v>
      </c>
      <c r="M148" s="1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194"/>
      <c r="O148" s="69"/>
      <c r="P148" s="69"/>
    </row>
    <row r="149" spans="1:16" s="12" customFormat="1" ht="18.75" hidden="1" customHeight="1">
      <c r="A149" s="35"/>
      <c r="B149" s="35"/>
      <c r="C149" s="5" t="s">
        <v>1122</v>
      </c>
      <c r="D149" s="1459"/>
      <c r="E149" s="1219"/>
      <c r="F149" s="1361"/>
      <c r="G149" s="1432"/>
      <c r="H149" s="813"/>
      <c r="I149" s="53" t="s">
        <v>1121</v>
      </c>
      <c r="J149" s="109"/>
      <c r="K149" s="813"/>
      <c r="L149" s="106"/>
      <c r="M149" s="1188"/>
      <c r="N149" s="194"/>
      <c r="O149" s="69"/>
      <c r="P149" s="69"/>
    </row>
    <row r="150" spans="1:16" s="12" customFormat="1" ht="0.75" hidden="1" customHeight="1">
      <c r="A150" s="35"/>
      <c r="B150" s="35"/>
      <c r="C150" s="5" t="s">
        <v>1129</v>
      </c>
      <c r="D150" s="1459"/>
      <c r="E150" s="1219"/>
      <c r="F150" s="1361"/>
      <c r="G150" s="225"/>
      <c r="H150" s="813"/>
      <c r="I150" s="53"/>
      <c r="J150" s="109"/>
      <c r="K150" s="813"/>
      <c r="L150" s="106"/>
      <c r="M150" s="1188"/>
      <c r="N150" s="194"/>
      <c r="O150" s="69"/>
      <c r="P150" s="69"/>
    </row>
    <row r="151" spans="1:16" s="12" customFormat="1" ht="45" hidden="1" customHeight="1">
      <c r="A151" s="35" t="s">
        <v>161</v>
      </c>
      <c r="B151" s="35" t="s">
        <v>162</v>
      </c>
      <c r="C151" s="5"/>
      <c r="D151" s="1459"/>
      <c r="E151" s="1219"/>
      <c r="F151" s="1361" t="str">
        <f>INDEX(PT_DIFFERENTIATION_VTAR,MATCH(A151,PT_DIFFERENTIATION_VTAR_ID,0))</f>
        <v/>
      </c>
      <c r="G151" s="1432" t="str">
        <f>INDEX(PT_DIFFERENTIATION_NTAR,MATCH(B151,PT_DIFFERENTIATION_NTAR_ID,0))</f>
        <v/>
      </c>
      <c r="H151" s="753"/>
      <c r="I151" s="938"/>
      <c r="J151" s="964"/>
      <c r="K151" s="357"/>
      <c r="L151" s="753" t="s">
        <v>305</v>
      </c>
      <c r="M151" s="1189"/>
      <c r="N151" s="194"/>
      <c r="O151" s="69"/>
      <c r="P151" s="69"/>
    </row>
    <row r="152" spans="1:16" s="12" customFormat="1" ht="18.75" hidden="1" customHeight="1">
      <c r="A152" s="35"/>
      <c r="B152" s="35"/>
      <c r="C152" s="5" t="s">
        <v>1122</v>
      </c>
      <c r="D152" s="1459"/>
      <c r="E152" s="1219"/>
      <c r="F152" s="1361"/>
      <c r="G152" s="1432"/>
      <c r="H152" s="813"/>
      <c r="I152" s="53" t="s">
        <v>1121</v>
      </c>
      <c r="J152" s="109"/>
      <c r="K152" s="813"/>
      <c r="L152" s="106"/>
      <c r="M152" s="997"/>
      <c r="N152" s="194"/>
      <c r="O152" s="69"/>
      <c r="P152" s="69"/>
    </row>
    <row r="153" spans="1:16" s="12" customFormat="1" ht="0.75" hidden="1" customHeight="1">
      <c r="A153" s="35"/>
      <c r="B153" s="35"/>
      <c r="C153" s="5" t="s">
        <v>1129</v>
      </c>
      <c r="D153" s="1459"/>
      <c r="E153" s="1219"/>
      <c r="F153" s="1361"/>
      <c r="G153" s="225"/>
      <c r="H153" s="813"/>
      <c r="I153" s="53"/>
      <c r="J153" s="109"/>
      <c r="K153" s="813"/>
      <c r="L153" s="106"/>
      <c r="M153" s="199"/>
      <c r="N153" s="194"/>
      <c r="O153" s="69"/>
      <c r="P153" s="69"/>
    </row>
    <row r="154" spans="1:16" s="12" customFormat="1" ht="45" hidden="1" customHeight="1">
      <c r="A154" s="35" t="s">
        <v>168</v>
      </c>
      <c r="B154" s="35" t="s">
        <v>169</v>
      </c>
      <c r="C154" s="5"/>
      <c r="D154" s="1459"/>
      <c r="E154" s="1219"/>
      <c r="F154" s="136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32" t="str">
        <f>INDEX(PT_DIFFERENTIATION_NTAR,MATCH(B154,PT_DIFFERENTIATION_NTAR_ID,0))</f>
        <v/>
      </c>
      <c r="H154" s="753"/>
      <c r="I154" s="938"/>
      <c r="J154" s="964"/>
      <c r="K154" s="357"/>
      <c r="L154" s="753" t="s">
        <v>305</v>
      </c>
      <c r="M154" s="199"/>
      <c r="N154" s="194"/>
      <c r="O154" s="69"/>
      <c r="P154" s="69"/>
    </row>
    <row r="155" spans="1:16" s="12" customFormat="1" ht="18.75" hidden="1" customHeight="1">
      <c r="A155" s="35"/>
      <c r="B155" s="35"/>
      <c r="C155" s="5" t="s">
        <v>1122</v>
      </c>
      <c r="D155" s="1459"/>
      <c r="E155" s="1219"/>
      <c r="F155" s="1361"/>
      <c r="G155" s="1432"/>
      <c r="H155" s="813"/>
      <c r="I155" s="53" t="s">
        <v>1121</v>
      </c>
      <c r="J155" s="109"/>
      <c r="K155" s="813"/>
      <c r="L155" s="106"/>
      <c r="M155" s="199"/>
      <c r="N155" s="194"/>
      <c r="O155" s="69"/>
      <c r="P155" s="69"/>
    </row>
    <row r="156" spans="1:16" s="12" customFormat="1" ht="0.75" hidden="1" customHeight="1">
      <c r="A156" s="35"/>
      <c r="B156" s="35"/>
      <c r="C156" s="5" t="s">
        <v>1129</v>
      </c>
      <c r="D156" s="1459"/>
      <c r="E156" s="1219"/>
      <c r="F156" s="1361"/>
      <c r="G156" s="225"/>
      <c r="H156" s="813"/>
      <c r="I156" s="53"/>
      <c r="J156" s="109"/>
      <c r="K156" s="813"/>
      <c r="L156" s="106"/>
      <c r="M156" s="199"/>
      <c r="N156" s="194"/>
      <c r="O156" s="69"/>
      <c r="P156" s="69"/>
    </row>
    <row r="157" spans="1:16" s="12" customFormat="1" ht="45" hidden="1" customHeight="1">
      <c r="A157" s="35" t="s">
        <v>174</v>
      </c>
      <c r="B157" s="35" t="s">
        <v>175</v>
      </c>
      <c r="C157" s="5"/>
      <c r="D157" s="1459"/>
      <c r="E157" s="1219"/>
      <c r="F157" s="136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32" t="str">
        <f>INDEX(PT_DIFFERENTIATION_NTAR,MATCH(B157,PT_DIFFERENTIATION_NTAR_ID,0))</f>
        <v/>
      </c>
      <c r="H157" s="753"/>
      <c r="I157" s="938"/>
      <c r="J157" s="964"/>
      <c r="K157" s="357"/>
      <c r="L157" s="753" t="s">
        <v>305</v>
      </c>
      <c r="M157" s="199"/>
      <c r="N157" s="194"/>
      <c r="O157" s="69"/>
      <c r="P157" s="69"/>
    </row>
    <row r="158" spans="1:16" s="12" customFormat="1" ht="18.75" hidden="1" customHeight="1">
      <c r="A158" s="35"/>
      <c r="B158" s="35"/>
      <c r="C158" s="5" t="s">
        <v>1122</v>
      </c>
      <c r="D158" s="1459"/>
      <c r="E158" s="1219"/>
      <c r="F158" s="1361"/>
      <c r="G158" s="1432"/>
      <c r="H158" s="813"/>
      <c r="I158" s="53" t="s">
        <v>1121</v>
      </c>
      <c r="J158" s="109"/>
      <c r="K158" s="813"/>
      <c r="L158" s="106"/>
      <c r="M158" s="199"/>
      <c r="N158" s="194"/>
      <c r="O158" s="69"/>
      <c r="P158" s="69"/>
    </row>
    <row r="159" spans="1:16" s="12" customFormat="1" ht="0.75" hidden="1" customHeight="1">
      <c r="A159" s="35"/>
      <c r="B159" s="35"/>
      <c r="C159" s="5" t="s">
        <v>1129</v>
      </c>
      <c r="D159" s="1459"/>
      <c r="E159" s="1219"/>
      <c r="F159" s="1361"/>
      <c r="G159" s="225"/>
      <c r="H159" s="813"/>
      <c r="I159" s="53"/>
      <c r="J159" s="109"/>
      <c r="K159" s="813"/>
      <c r="L159" s="106"/>
      <c r="M159" s="199"/>
      <c r="N159" s="194"/>
      <c r="O159" s="69"/>
      <c r="P159" s="69"/>
    </row>
    <row r="160" spans="1:16" s="12" customFormat="1" ht="18.75" hidden="1" customHeight="1">
      <c r="A160" s="35" t="s">
        <v>180</v>
      </c>
      <c r="B160" s="35" t="s">
        <v>181</v>
      </c>
      <c r="C160" s="5"/>
      <c r="D160" s="1459"/>
      <c r="E160" s="1219"/>
      <c r="F160" s="1361" t="str">
        <f>INDEX(PT_DIFFERENTIATION_VTAR,MATCH(A160,PT_DIFFERENTIATION_VTAR_ID,0))</f>
        <v>Тарифы на услуги по передаче тепловой энергии</v>
      </c>
      <c r="G160" s="1432" t="str">
        <f>INDEX(PT_DIFFERENTIATION_NTAR,MATCH(B160,PT_DIFFERENTIATION_NTAR_ID,0))</f>
        <v/>
      </c>
      <c r="H160" s="753"/>
      <c r="I160" s="938"/>
      <c r="J160" s="964"/>
      <c r="K160" s="357"/>
      <c r="L160" s="753" t="s">
        <v>305</v>
      </c>
      <c r="M160" s="199"/>
      <c r="N160" s="194"/>
      <c r="O160" s="69"/>
      <c r="P160" s="69"/>
    </row>
    <row r="161" spans="1:16" s="12" customFormat="1" ht="18.75" hidden="1" customHeight="1">
      <c r="A161" s="35"/>
      <c r="B161" s="35"/>
      <c r="C161" s="5" t="s">
        <v>1122</v>
      </c>
      <c r="D161" s="1459"/>
      <c r="E161" s="1219"/>
      <c r="F161" s="1361"/>
      <c r="G161" s="1432"/>
      <c r="H161" s="813"/>
      <c r="I161" s="53" t="s">
        <v>1121</v>
      </c>
      <c r="J161" s="109"/>
      <c r="K161" s="813"/>
      <c r="L161" s="106"/>
      <c r="M161" s="199"/>
      <c r="N161" s="194"/>
      <c r="O161" s="69"/>
      <c r="P161" s="69"/>
    </row>
    <row r="162" spans="1:16" s="12" customFormat="1" ht="0.75" hidden="1" customHeight="1">
      <c r="A162" s="35"/>
      <c r="B162" s="35"/>
      <c r="C162" s="5" t="s">
        <v>1129</v>
      </c>
      <c r="D162" s="1459"/>
      <c r="E162" s="1219"/>
      <c r="F162" s="1361"/>
      <c r="G162" s="225"/>
      <c r="H162" s="813"/>
      <c r="I162" s="53"/>
      <c r="J162" s="109"/>
      <c r="K162" s="813"/>
      <c r="L162" s="106"/>
      <c r="M162" s="199"/>
      <c r="N162" s="194"/>
      <c r="O162" s="69"/>
      <c r="P162" s="69"/>
    </row>
    <row r="163" spans="1:16" s="12" customFormat="1" ht="18.75" hidden="1" customHeight="1">
      <c r="A163" s="35" t="s">
        <v>186</v>
      </c>
      <c r="B163" s="35" t="s">
        <v>187</v>
      </c>
      <c r="C163" s="5"/>
      <c r="D163" s="1459"/>
      <c r="E163" s="1219"/>
      <c r="F163" s="1361" t="str">
        <f>INDEX(PT_DIFFERENTIATION_VTAR,MATCH(A163,PT_DIFFERENTIATION_VTAR_ID,0))</f>
        <v>Тарифы на услуги по передаче теплоносителя</v>
      </c>
      <c r="G163" s="1432" t="str">
        <f>INDEX(PT_DIFFERENTIATION_NTAR,MATCH(B163,PT_DIFFERENTIATION_NTAR_ID,0))</f>
        <v/>
      </c>
      <c r="H163" s="753"/>
      <c r="I163" s="938"/>
      <c r="J163" s="964"/>
      <c r="K163" s="357"/>
      <c r="L163" s="753" t="s">
        <v>305</v>
      </c>
      <c r="M163" s="199"/>
      <c r="N163" s="194"/>
      <c r="O163" s="69"/>
      <c r="P163" s="69"/>
    </row>
    <row r="164" spans="1:16" s="12" customFormat="1" ht="18.75" hidden="1" customHeight="1">
      <c r="A164" s="35"/>
      <c r="B164" s="35"/>
      <c r="C164" s="5" t="s">
        <v>1122</v>
      </c>
      <c r="D164" s="1459"/>
      <c r="E164" s="1219"/>
      <c r="F164" s="1361"/>
      <c r="G164" s="1432"/>
      <c r="H164" s="813"/>
      <c r="I164" s="53" t="s">
        <v>1121</v>
      </c>
      <c r="J164" s="109"/>
      <c r="K164" s="813"/>
      <c r="L164" s="106"/>
      <c r="M164" s="199"/>
      <c r="N164" s="194"/>
      <c r="O164" s="69"/>
      <c r="P164" s="69"/>
    </row>
    <row r="165" spans="1:16" s="12" customFormat="1" ht="0.75" hidden="1" customHeight="1">
      <c r="A165" s="35"/>
      <c r="B165" s="35"/>
      <c r="C165" s="5" t="s">
        <v>1129</v>
      </c>
      <c r="D165" s="1459"/>
      <c r="E165" s="1219"/>
      <c r="F165" s="1361"/>
      <c r="G165" s="225"/>
      <c r="H165" s="813"/>
      <c r="I165" s="53"/>
      <c r="J165" s="109"/>
      <c r="K165" s="813"/>
      <c r="L165" s="106"/>
      <c r="M165" s="199"/>
      <c r="N165" s="194"/>
      <c r="O165" s="69"/>
      <c r="P165" s="69"/>
    </row>
    <row r="166" spans="1:16" s="12" customFormat="1" ht="18.75" hidden="1" customHeight="1">
      <c r="A166" s="35" t="s">
        <v>192</v>
      </c>
      <c r="B166" s="35" t="s">
        <v>193</v>
      </c>
      <c r="C166" s="5"/>
      <c r="D166" s="1459"/>
      <c r="E166" s="1219"/>
      <c r="F166" s="136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32" t="str">
        <f>INDEX(PT_DIFFERENTIATION_NTAR,MATCH(B166,PT_DIFFERENTIATION_NTAR_ID,0))</f>
        <v/>
      </c>
      <c r="H166" s="753"/>
      <c r="I166" s="938"/>
      <c r="J166" s="964"/>
      <c r="K166" s="357"/>
      <c r="L166" s="753" t="s">
        <v>305</v>
      </c>
      <c r="M166" s="199"/>
      <c r="N166" s="194"/>
      <c r="O166" s="69"/>
      <c r="P166" s="69"/>
    </row>
    <row r="167" spans="1:16" s="12" customFormat="1" ht="18.75" hidden="1" customHeight="1">
      <c r="A167" s="35"/>
      <c r="B167" s="35"/>
      <c r="C167" s="5" t="s">
        <v>1122</v>
      </c>
      <c r="D167" s="1459"/>
      <c r="E167" s="1219"/>
      <c r="F167" s="1361"/>
      <c r="G167" s="1432"/>
      <c r="H167" s="813"/>
      <c r="I167" s="53" t="s">
        <v>1121</v>
      </c>
      <c r="J167" s="109"/>
      <c r="K167" s="813"/>
      <c r="L167" s="106"/>
      <c r="M167" s="199"/>
      <c r="N167" s="194"/>
      <c r="O167" s="69"/>
      <c r="P167" s="69"/>
    </row>
    <row r="168" spans="1:16" s="12" customFormat="1" ht="0.75" hidden="1" customHeight="1">
      <c r="A168" s="35"/>
      <c r="B168" s="35"/>
      <c r="C168" s="5" t="s">
        <v>1129</v>
      </c>
      <c r="D168" s="1459"/>
      <c r="E168" s="1219"/>
      <c r="F168" s="1361"/>
      <c r="G168" s="225"/>
      <c r="H168" s="813"/>
      <c r="I168" s="53"/>
      <c r="J168" s="109"/>
      <c r="K168" s="813"/>
      <c r="L168" s="106"/>
      <c r="M168" s="199"/>
      <c r="N168" s="194"/>
      <c r="O168" s="69"/>
      <c r="P168" s="69"/>
    </row>
    <row r="169" spans="1:16" s="12" customFormat="1" ht="18.75" hidden="1" customHeight="1">
      <c r="A169" s="35" t="s">
        <v>198</v>
      </c>
      <c r="B169" s="35" t="s">
        <v>199</v>
      </c>
      <c r="C169" s="5"/>
      <c r="D169" s="1459"/>
      <c r="E169" s="1219"/>
      <c r="F169" s="1361" t="str">
        <f>INDEX(PT_DIFFERENTIATION_VTAR,MATCH(A169,PT_DIFFERENTIATION_VTAR_ID,0))</f>
        <v>Плата за подключение (технологическое присоединение) к системе теплоснабжения</v>
      </c>
      <c r="G169" s="1432" t="str">
        <f>INDEX(PT_DIFFERENTIATION_NTAR,MATCH(B169,PT_DIFFERENTIATION_NTAR_ID,0))</f>
        <v/>
      </c>
      <c r="H169" s="753"/>
      <c r="I169" s="938"/>
      <c r="J169" s="964"/>
      <c r="K169" s="357"/>
      <c r="L169" s="753" t="s">
        <v>305</v>
      </c>
      <c r="M169" s="199"/>
      <c r="N169" s="194"/>
      <c r="O169" s="69"/>
      <c r="P169" s="69"/>
    </row>
    <row r="170" spans="1:16" s="12" customFormat="1" ht="18.75" hidden="1" customHeight="1">
      <c r="A170" s="35"/>
      <c r="B170" s="35"/>
      <c r="C170" s="5" t="s">
        <v>1122</v>
      </c>
      <c r="D170" s="1459"/>
      <c r="E170" s="1219"/>
      <c r="F170" s="1361"/>
      <c r="G170" s="1432"/>
      <c r="H170" s="813"/>
      <c r="I170" s="53" t="s">
        <v>1121</v>
      </c>
      <c r="J170" s="109"/>
      <c r="K170" s="813"/>
      <c r="L170" s="106"/>
      <c r="M170" s="199"/>
      <c r="N170" s="194"/>
      <c r="O170" s="69"/>
      <c r="P170" s="69"/>
    </row>
    <row r="171" spans="1:16" s="12" customFormat="1" ht="0.75" hidden="1" customHeight="1">
      <c r="A171" s="35"/>
      <c r="B171" s="35"/>
      <c r="C171" s="5" t="s">
        <v>1129</v>
      </c>
      <c r="D171" s="1459"/>
      <c r="E171" s="1219"/>
      <c r="F171" s="1361"/>
      <c r="G171" s="225"/>
      <c r="H171" s="813"/>
      <c r="I171" s="53"/>
      <c r="J171" s="109"/>
      <c r="K171" s="813"/>
      <c r="L171" s="106"/>
      <c r="M171" s="199"/>
      <c r="N171" s="194"/>
      <c r="O171" s="69"/>
      <c r="P171" s="69"/>
    </row>
    <row r="172" spans="1:16" s="12" customFormat="1" ht="18.75" hidden="1" customHeight="1">
      <c r="A172" s="35" t="s">
        <v>204</v>
      </c>
      <c r="B172" s="35" t="s">
        <v>205</v>
      </c>
      <c r="C172" s="5"/>
      <c r="D172" s="1459"/>
      <c r="E172" s="1219"/>
      <c r="F172" s="1361" t="str">
        <f>INDEX(PT_DIFFERENTIATION_VTAR,MATCH(A172,PT_DIFFERENTIATION_VTAR_ID,0))</f>
        <v>Плата за подключение (технологическое присоединение) к системе теплоснабжения (индивидуальная)</v>
      </c>
      <c r="G172" s="1432" t="str">
        <f>INDEX(PT_DIFFERENTIATION_NTAR,MATCH(B172,PT_DIFFERENTIATION_NTAR_ID,0))</f>
        <v/>
      </c>
      <c r="H172" s="753"/>
      <c r="I172" s="938"/>
      <c r="J172" s="964"/>
      <c r="K172" s="357"/>
      <c r="L172" s="753" t="s">
        <v>305</v>
      </c>
      <c r="M172" s="199"/>
      <c r="N172" s="194"/>
      <c r="O172" s="69"/>
      <c r="P172" s="69"/>
    </row>
    <row r="173" spans="1:16" s="12" customFormat="1" ht="18.75" hidden="1" customHeight="1">
      <c r="A173" s="35"/>
      <c r="B173" s="35"/>
      <c r="C173" s="5" t="s">
        <v>1122</v>
      </c>
      <c r="D173" s="1459"/>
      <c r="E173" s="1219"/>
      <c r="F173" s="1361"/>
      <c r="G173" s="1432"/>
      <c r="H173" s="813"/>
      <c r="I173" s="53" t="s">
        <v>1121</v>
      </c>
      <c r="J173" s="109"/>
      <c r="K173" s="813"/>
      <c r="L173" s="106"/>
      <c r="M173" s="199"/>
      <c r="N173" s="194"/>
      <c r="O173" s="69"/>
      <c r="P173" s="69"/>
    </row>
    <row r="174" spans="1:16" s="12" customFormat="1" ht="0.75" hidden="1" customHeight="1">
      <c r="A174" s="35"/>
      <c r="B174" s="35"/>
      <c r="C174" s="5" t="s">
        <v>1129</v>
      </c>
      <c r="D174" s="1459"/>
      <c r="E174" s="1219"/>
      <c r="F174" s="1361"/>
      <c r="G174" s="225"/>
      <c r="H174" s="813"/>
      <c r="I174" s="53"/>
      <c r="J174" s="109"/>
      <c r="K174" s="813"/>
      <c r="L174" s="106"/>
      <c r="M174" s="199"/>
      <c r="N174" s="194"/>
      <c r="O174" s="69"/>
      <c r="P174" s="69"/>
    </row>
    <row r="175" spans="1:16" s="12" customFormat="1" ht="18.75" hidden="1" customHeight="1">
      <c r="A175" s="35" t="s">
        <v>224</v>
      </c>
      <c r="B175" s="35" t="s">
        <v>225</v>
      </c>
      <c r="C175" s="5"/>
      <c r="D175" s="1459"/>
      <c r="E175" s="1219"/>
      <c r="F175" s="1361" t="str">
        <f>INDEX(PT_DIFFERENTIATION_VTAR,MATCH(A175,PT_DIFFERENTIATION_VTAR_ID,0))</f>
        <v>Тариф на питьевую воду (питьевое водоснабжение)</v>
      </c>
      <c r="G175" s="1432" t="str">
        <f>INDEX(PT_DIFFERENTIATION_NTAR,MATCH(B175,PT_DIFFERENTIATION_NTAR_ID,0))</f>
        <v/>
      </c>
      <c r="H175" s="753"/>
      <c r="I175" s="938"/>
      <c r="J175" s="964"/>
      <c r="K175" s="357"/>
      <c r="L175" s="753" t="s">
        <v>305</v>
      </c>
      <c r="M175" s="199"/>
      <c r="N175" s="194"/>
      <c r="O175" s="69"/>
      <c r="P175" s="69"/>
    </row>
    <row r="176" spans="1:16" s="12" customFormat="1" ht="18.75" hidden="1" customHeight="1">
      <c r="A176" s="35"/>
      <c r="B176" s="35"/>
      <c r="C176" s="5" t="s">
        <v>1122</v>
      </c>
      <c r="D176" s="1459"/>
      <c r="E176" s="1219"/>
      <c r="F176" s="1361"/>
      <c r="G176" s="1432"/>
      <c r="H176" s="813"/>
      <c r="I176" s="53" t="s">
        <v>1121</v>
      </c>
      <c r="J176" s="109"/>
      <c r="K176" s="813"/>
      <c r="L176" s="106"/>
      <c r="M176" s="199"/>
      <c r="N176" s="194"/>
      <c r="O176" s="69"/>
      <c r="P176" s="69"/>
    </row>
    <row r="177" spans="1:16" s="12" customFormat="1" ht="0.75" hidden="1" customHeight="1">
      <c r="A177" s="35"/>
      <c r="B177" s="35"/>
      <c r="C177" s="5" t="s">
        <v>1129</v>
      </c>
      <c r="D177" s="1459"/>
      <c r="E177" s="1219"/>
      <c r="F177" s="1361"/>
      <c r="G177" s="225"/>
      <c r="H177" s="813"/>
      <c r="I177" s="53"/>
      <c r="J177" s="109"/>
      <c r="K177" s="813"/>
      <c r="L177" s="106"/>
      <c r="M177" s="199"/>
      <c r="N177" s="194"/>
      <c r="O177" s="69"/>
      <c r="P177" s="69"/>
    </row>
    <row r="178" spans="1:16" s="12" customFormat="1" ht="18.75" hidden="1" customHeight="1">
      <c r="A178" s="35" t="s">
        <v>229</v>
      </c>
      <c r="B178" s="35" t="s">
        <v>230</v>
      </c>
      <c r="C178" s="5"/>
      <c r="D178" s="1459"/>
      <c r="E178" s="1219"/>
      <c r="F178" s="1361" t="str">
        <f>INDEX(PT_DIFFERENTIATION_VTAR,MATCH(A178,PT_DIFFERENTIATION_VTAR_ID,0))</f>
        <v>Тариф на техническую воду</v>
      </c>
      <c r="G178" s="1432" t="str">
        <f>INDEX(PT_DIFFERENTIATION_NTAR,MATCH(B178,PT_DIFFERENTIATION_NTAR_ID,0))</f>
        <v/>
      </c>
      <c r="H178" s="753"/>
      <c r="I178" s="938"/>
      <c r="J178" s="964"/>
      <c r="K178" s="357"/>
      <c r="L178" s="753" t="s">
        <v>305</v>
      </c>
      <c r="M178" s="199"/>
      <c r="N178" s="194"/>
      <c r="O178" s="69"/>
      <c r="P178" s="69"/>
    </row>
    <row r="179" spans="1:16" s="12" customFormat="1" ht="18.75" hidden="1" customHeight="1">
      <c r="A179" s="35"/>
      <c r="B179" s="35"/>
      <c r="C179" s="5" t="s">
        <v>1122</v>
      </c>
      <c r="D179" s="1459"/>
      <c r="E179" s="1219"/>
      <c r="F179" s="1361"/>
      <c r="G179" s="1432"/>
      <c r="H179" s="813"/>
      <c r="I179" s="53" t="s">
        <v>1121</v>
      </c>
      <c r="J179" s="109"/>
      <c r="K179" s="813"/>
      <c r="L179" s="106"/>
      <c r="M179" s="199"/>
      <c r="N179" s="194"/>
      <c r="O179" s="69"/>
      <c r="P179" s="69"/>
    </row>
    <row r="180" spans="1:16" s="12" customFormat="1" ht="0.75" hidden="1" customHeight="1">
      <c r="A180" s="35"/>
      <c r="B180" s="35"/>
      <c r="C180" s="5" t="s">
        <v>1129</v>
      </c>
      <c r="D180" s="1459"/>
      <c r="E180" s="1219"/>
      <c r="F180" s="1361"/>
      <c r="G180" s="225"/>
      <c r="H180" s="813"/>
      <c r="I180" s="53"/>
      <c r="J180" s="109"/>
      <c r="K180" s="813"/>
      <c r="L180" s="106"/>
      <c r="M180" s="199"/>
      <c r="N180" s="194"/>
      <c r="O180" s="69"/>
      <c r="P180" s="69"/>
    </row>
    <row r="181" spans="1:16" s="12" customFormat="1" ht="18.75" hidden="1" customHeight="1">
      <c r="A181" s="35" t="s">
        <v>234</v>
      </c>
      <c r="B181" s="35" t="s">
        <v>235</v>
      </c>
      <c r="C181" s="5"/>
      <c r="D181" s="1459"/>
      <c r="E181" s="1219"/>
      <c r="F181" s="1361" t="str">
        <f>INDEX(PT_DIFFERENTIATION_VTAR,MATCH(A181,PT_DIFFERENTIATION_VTAR_ID,0))</f>
        <v>Тариф на транспортировку воды</v>
      </c>
      <c r="G181" s="1432" t="str">
        <f>INDEX(PT_DIFFERENTIATION_NTAR,MATCH(B181,PT_DIFFERENTIATION_NTAR_ID,0))</f>
        <v/>
      </c>
      <c r="H181" s="753"/>
      <c r="I181" s="938"/>
      <c r="J181" s="964"/>
      <c r="K181" s="357"/>
      <c r="L181" s="753" t="s">
        <v>305</v>
      </c>
      <c r="M181" s="199"/>
      <c r="N181" s="194"/>
      <c r="O181" s="69"/>
      <c r="P181" s="69"/>
    </row>
    <row r="182" spans="1:16" s="12" customFormat="1" ht="18.75" hidden="1" customHeight="1">
      <c r="A182" s="35"/>
      <c r="B182" s="35"/>
      <c r="C182" s="5" t="s">
        <v>1122</v>
      </c>
      <c r="D182" s="1459"/>
      <c r="E182" s="1219"/>
      <c r="F182" s="1361"/>
      <c r="G182" s="1432"/>
      <c r="H182" s="813"/>
      <c r="I182" s="53" t="s">
        <v>1121</v>
      </c>
      <c r="J182" s="109"/>
      <c r="K182" s="813"/>
      <c r="L182" s="106"/>
      <c r="M182" s="199"/>
      <c r="N182" s="194"/>
      <c r="O182" s="69"/>
      <c r="P182" s="69"/>
    </row>
    <row r="183" spans="1:16" s="12" customFormat="1" ht="0.75" hidden="1" customHeight="1">
      <c r="A183" s="35"/>
      <c r="B183" s="35"/>
      <c r="C183" s="5" t="s">
        <v>1129</v>
      </c>
      <c r="D183" s="1459"/>
      <c r="E183" s="1219"/>
      <c r="F183" s="1361"/>
      <c r="G183" s="225"/>
      <c r="H183" s="813"/>
      <c r="I183" s="53"/>
      <c r="J183" s="109"/>
      <c r="K183" s="813"/>
      <c r="L183" s="106"/>
      <c r="M183" s="199"/>
      <c r="N183" s="194"/>
      <c r="O183" s="69"/>
      <c r="P183" s="69"/>
    </row>
    <row r="184" spans="1:16" s="12" customFormat="1" ht="18.75" hidden="1" customHeight="1">
      <c r="A184" s="35" t="s">
        <v>239</v>
      </c>
      <c r="B184" s="35" t="s">
        <v>240</v>
      </c>
      <c r="C184" s="5"/>
      <c r="D184" s="1459"/>
      <c r="E184" s="1219"/>
      <c r="F184" s="1361" t="str">
        <f>INDEX(PT_DIFFERENTIATION_VTAR,MATCH(A184,PT_DIFFERENTIATION_VTAR_ID,0))</f>
        <v>Тариф на подвоз воды</v>
      </c>
      <c r="G184" s="1432" t="str">
        <f>INDEX(PT_DIFFERENTIATION_NTAR,MATCH(B184,PT_DIFFERENTIATION_NTAR_ID,0))</f>
        <v/>
      </c>
      <c r="H184" s="753"/>
      <c r="I184" s="938"/>
      <c r="J184" s="964"/>
      <c r="K184" s="357"/>
      <c r="L184" s="753" t="s">
        <v>305</v>
      </c>
      <c r="M184" s="199"/>
      <c r="N184" s="194"/>
      <c r="O184" s="69"/>
      <c r="P184" s="69"/>
    </row>
    <row r="185" spans="1:16" s="12" customFormat="1" ht="18.75" hidden="1" customHeight="1">
      <c r="A185" s="35"/>
      <c r="B185" s="35"/>
      <c r="C185" s="5" t="s">
        <v>1122</v>
      </c>
      <c r="D185" s="1459"/>
      <c r="E185" s="1219"/>
      <c r="F185" s="1361"/>
      <c r="G185" s="1432"/>
      <c r="H185" s="813"/>
      <c r="I185" s="53" t="s">
        <v>1121</v>
      </c>
      <c r="J185" s="109"/>
      <c r="K185" s="813"/>
      <c r="L185" s="106"/>
      <c r="M185" s="199"/>
      <c r="N185" s="194"/>
      <c r="O185" s="69"/>
      <c r="P185" s="69"/>
    </row>
    <row r="186" spans="1:16" s="12" customFormat="1" ht="0.75" hidden="1" customHeight="1">
      <c r="A186" s="35"/>
      <c r="B186" s="35"/>
      <c r="C186" s="5" t="s">
        <v>1129</v>
      </c>
      <c r="D186" s="1459"/>
      <c r="E186" s="1219"/>
      <c r="F186" s="1361"/>
      <c r="G186" s="225"/>
      <c r="H186" s="813"/>
      <c r="I186" s="53"/>
      <c r="J186" s="109"/>
      <c r="K186" s="813"/>
      <c r="L186" s="106"/>
      <c r="M186" s="199"/>
      <c r="N186" s="194"/>
      <c r="O186" s="69"/>
      <c r="P186" s="69"/>
    </row>
    <row r="187" spans="1:16" s="12" customFormat="1" ht="18.75" hidden="1" customHeight="1">
      <c r="A187" s="35" t="s">
        <v>244</v>
      </c>
      <c r="B187" s="35" t="s">
        <v>245</v>
      </c>
      <c r="C187" s="5"/>
      <c r="D187" s="1459"/>
      <c r="E187" s="1219"/>
      <c r="F187" s="136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32" t="str">
        <f>INDEX(PT_DIFFERENTIATION_NTAR,MATCH(B187,PT_DIFFERENTIATION_NTAR_ID,0))</f>
        <v/>
      </c>
      <c r="H187" s="753"/>
      <c r="I187" s="938"/>
      <c r="J187" s="964"/>
      <c r="K187" s="357"/>
      <c r="L187" s="753" t="s">
        <v>305</v>
      </c>
      <c r="M187" s="199"/>
      <c r="N187" s="194"/>
      <c r="O187" s="69"/>
      <c r="P187" s="69"/>
    </row>
    <row r="188" spans="1:16" s="12" customFormat="1" ht="18.75" hidden="1" customHeight="1">
      <c r="A188" s="35"/>
      <c r="B188" s="35"/>
      <c r="C188" s="5" t="s">
        <v>1122</v>
      </c>
      <c r="D188" s="1459"/>
      <c r="E188" s="1219"/>
      <c r="F188" s="1361"/>
      <c r="G188" s="1432"/>
      <c r="H188" s="813"/>
      <c r="I188" s="53" t="s">
        <v>1121</v>
      </c>
      <c r="J188" s="109"/>
      <c r="K188" s="813"/>
      <c r="L188" s="106"/>
      <c r="M188" s="199"/>
      <c r="N188" s="194"/>
      <c r="O188" s="69"/>
      <c r="P188" s="69"/>
    </row>
    <row r="189" spans="1:16" s="12" customFormat="1" ht="0.75" hidden="1" customHeight="1">
      <c r="A189" s="35"/>
      <c r="B189" s="35"/>
      <c r="C189" s="5" t="s">
        <v>1129</v>
      </c>
      <c r="D189" s="1459"/>
      <c r="E189" s="1219"/>
      <c r="F189" s="1361"/>
      <c r="G189" s="225"/>
      <c r="H189" s="813"/>
      <c r="I189" s="53"/>
      <c r="J189" s="109"/>
      <c r="K189" s="813"/>
      <c r="L189" s="106"/>
      <c r="M189" s="199"/>
      <c r="N189" s="194"/>
      <c r="O189" s="69"/>
      <c r="P189" s="69"/>
    </row>
    <row r="190" spans="1:16" s="12" customFormat="1" ht="18.75" hidden="1" customHeight="1">
      <c r="A190" s="35" t="s">
        <v>249</v>
      </c>
      <c r="B190" s="35" t="s">
        <v>250</v>
      </c>
      <c r="C190" s="5"/>
      <c r="D190" s="1459"/>
      <c r="E190" s="1219"/>
      <c r="F190" s="1361" t="str">
        <f>INDEX(PT_DIFFERENTIATION_VTAR,MATCH(A190,PT_DIFFERENTIATION_VTAR_ID,0))</f>
        <v>Тариф на горячую воду (горячее водоснабжение)</v>
      </c>
      <c r="G190" s="1432" t="str">
        <f>INDEX(PT_DIFFERENTIATION_NTAR,MATCH(B190,PT_DIFFERENTIATION_NTAR_ID,0))</f>
        <v/>
      </c>
      <c r="H190" s="753"/>
      <c r="I190" s="938"/>
      <c r="J190" s="964"/>
      <c r="K190" s="357"/>
      <c r="L190" s="753" t="s">
        <v>305</v>
      </c>
      <c r="M190" s="199"/>
      <c r="N190" s="194"/>
      <c r="O190" s="69"/>
      <c r="P190" s="69"/>
    </row>
    <row r="191" spans="1:16" s="12" customFormat="1" ht="18.75" hidden="1" customHeight="1">
      <c r="A191" s="35"/>
      <c r="B191" s="35"/>
      <c r="C191" s="5" t="s">
        <v>1122</v>
      </c>
      <c r="D191" s="1459"/>
      <c r="E191" s="1219"/>
      <c r="F191" s="1361"/>
      <c r="G191" s="1432"/>
      <c r="H191" s="813"/>
      <c r="I191" s="53" t="s">
        <v>1121</v>
      </c>
      <c r="J191" s="109"/>
      <c r="K191" s="813"/>
      <c r="L191" s="106"/>
      <c r="M191" s="199"/>
      <c r="N191" s="194"/>
      <c r="O191" s="69"/>
      <c r="P191" s="69"/>
    </row>
    <row r="192" spans="1:16" s="12" customFormat="1" ht="0.75" hidden="1" customHeight="1">
      <c r="A192" s="35"/>
      <c r="B192" s="35"/>
      <c r="C192" s="5" t="s">
        <v>1129</v>
      </c>
      <c r="D192" s="1459"/>
      <c r="E192" s="1219"/>
      <c r="F192" s="1361"/>
      <c r="G192" s="225"/>
      <c r="H192" s="813"/>
      <c r="I192" s="53"/>
      <c r="J192" s="109"/>
      <c r="K192" s="813"/>
      <c r="L192" s="106"/>
      <c r="M192" s="199"/>
      <c r="N192" s="194"/>
      <c r="O192" s="69"/>
      <c r="P192" s="69"/>
    </row>
    <row r="193" spans="1:16" s="12" customFormat="1" ht="18.75" hidden="1" customHeight="1">
      <c r="A193" s="35" t="s">
        <v>254</v>
      </c>
      <c r="B193" s="35" t="s">
        <v>255</v>
      </c>
      <c r="C193" s="5"/>
      <c r="D193" s="1459"/>
      <c r="E193" s="1219"/>
      <c r="F193" s="1361" t="str">
        <f>INDEX(PT_DIFFERENTIATION_VTAR,MATCH(A193,PT_DIFFERENTIATION_VTAR_ID,0))</f>
        <v>Тариф на транспортировку горячей воды</v>
      </c>
      <c r="G193" s="1432" t="str">
        <f>INDEX(PT_DIFFERENTIATION_NTAR,MATCH(B193,PT_DIFFERENTIATION_NTAR_ID,0))</f>
        <v/>
      </c>
      <c r="H193" s="753"/>
      <c r="I193" s="938"/>
      <c r="J193" s="964"/>
      <c r="K193" s="357"/>
      <c r="L193" s="753" t="s">
        <v>305</v>
      </c>
      <c r="M193" s="199"/>
      <c r="N193" s="194"/>
      <c r="O193" s="69"/>
      <c r="P193" s="69"/>
    </row>
    <row r="194" spans="1:16" s="12" customFormat="1" ht="18.75" hidden="1" customHeight="1">
      <c r="A194" s="35"/>
      <c r="B194" s="35"/>
      <c r="C194" s="5" t="s">
        <v>1122</v>
      </c>
      <c r="D194" s="1459"/>
      <c r="E194" s="1219"/>
      <c r="F194" s="1361"/>
      <c r="G194" s="1432"/>
      <c r="H194" s="813"/>
      <c r="I194" s="53" t="s">
        <v>1121</v>
      </c>
      <c r="J194" s="109"/>
      <c r="K194" s="813"/>
      <c r="L194" s="106"/>
      <c r="M194" s="199"/>
      <c r="N194" s="194"/>
      <c r="O194" s="69"/>
      <c r="P194" s="69"/>
    </row>
    <row r="195" spans="1:16" s="12" customFormat="1" ht="0.75" hidden="1" customHeight="1">
      <c r="A195" s="35"/>
      <c r="B195" s="35"/>
      <c r="C195" s="5" t="s">
        <v>1129</v>
      </c>
      <c r="D195" s="1459"/>
      <c r="E195" s="1219"/>
      <c r="F195" s="1361"/>
      <c r="G195" s="225"/>
      <c r="H195" s="813"/>
      <c r="I195" s="53"/>
      <c r="J195" s="109"/>
      <c r="K195" s="813"/>
      <c r="L195" s="106"/>
      <c r="M195" s="199"/>
      <c r="N195" s="194"/>
      <c r="O195" s="69"/>
      <c r="P195" s="69"/>
    </row>
    <row r="196" spans="1:16" s="12" customFormat="1" ht="18.75" hidden="1" customHeight="1">
      <c r="A196" s="35" t="s">
        <v>259</v>
      </c>
      <c r="B196" s="35" t="s">
        <v>260</v>
      </c>
      <c r="C196" s="5"/>
      <c r="D196" s="1459"/>
      <c r="E196" s="1219"/>
      <c r="F196" s="1361"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32" t="str">
        <f>INDEX(PT_DIFFERENTIATION_NTAR,MATCH(B196,PT_DIFFERENTIATION_NTAR_ID,0))</f>
        <v/>
      </c>
      <c r="H196" s="753"/>
      <c r="I196" s="938"/>
      <c r="J196" s="964"/>
      <c r="K196" s="357"/>
      <c r="L196" s="753" t="s">
        <v>305</v>
      </c>
      <c r="M196" s="199"/>
      <c r="N196" s="194"/>
      <c r="O196" s="69"/>
      <c r="P196" s="69"/>
    </row>
    <row r="197" spans="1:16" s="12" customFormat="1" ht="18.75" hidden="1" customHeight="1">
      <c r="A197" s="35"/>
      <c r="B197" s="35"/>
      <c r="C197" s="5" t="s">
        <v>1122</v>
      </c>
      <c r="D197" s="1459"/>
      <c r="E197" s="1219"/>
      <c r="F197" s="1361"/>
      <c r="G197" s="1432"/>
      <c r="H197" s="813"/>
      <c r="I197" s="53" t="s">
        <v>1121</v>
      </c>
      <c r="J197" s="109"/>
      <c r="K197" s="813"/>
      <c r="L197" s="106"/>
      <c r="M197" s="199"/>
      <c r="N197" s="194"/>
      <c r="O197" s="69"/>
      <c r="P197" s="69"/>
    </row>
    <row r="198" spans="1:16" s="12" customFormat="1" ht="0.75" hidden="1" customHeight="1">
      <c r="A198" s="35"/>
      <c r="B198" s="35"/>
      <c r="C198" s="5" t="s">
        <v>1129</v>
      </c>
      <c r="D198" s="1459"/>
      <c r="E198" s="1219"/>
      <c r="F198" s="1361"/>
      <c r="G198" s="225"/>
      <c r="H198" s="813"/>
      <c r="I198" s="53"/>
      <c r="J198" s="109"/>
      <c r="K198" s="813"/>
      <c r="L198" s="106"/>
      <c r="M198" s="199"/>
      <c r="N198" s="194"/>
      <c r="O198" s="69"/>
      <c r="P198" s="69"/>
    </row>
    <row r="199" spans="1:16" s="12" customFormat="1" ht="18.75" hidden="1" customHeight="1">
      <c r="A199" s="35" t="s">
        <v>264</v>
      </c>
      <c r="B199" s="35" t="s">
        <v>265</v>
      </c>
      <c r="C199" s="5"/>
      <c r="D199" s="1459"/>
      <c r="E199" s="1219"/>
      <c r="F199" s="1361" t="str">
        <f>INDEX(PT_DIFFERENTIATION_VTAR,MATCH(A199,PT_DIFFERENTIATION_VTAR_ID,0))</f>
        <v>Тариф на водоотведение</v>
      </c>
      <c r="G199" s="1432" t="str">
        <f>INDEX(PT_DIFFERENTIATION_NTAR,MATCH(B199,PT_DIFFERENTIATION_NTAR_ID,0))</f>
        <v/>
      </c>
      <c r="H199" s="753"/>
      <c r="I199" s="938"/>
      <c r="J199" s="964"/>
      <c r="K199" s="357"/>
      <c r="L199" s="753" t="s">
        <v>305</v>
      </c>
      <c r="M199" s="199"/>
      <c r="N199" s="194"/>
      <c r="O199" s="69"/>
      <c r="P199" s="69"/>
    </row>
    <row r="200" spans="1:16" s="12" customFormat="1" ht="18.75" hidden="1" customHeight="1">
      <c r="A200" s="35"/>
      <c r="B200" s="35"/>
      <c r="C200" s="5" t="s">
        <v>1122</v>
      </c>
      <c r="D200" s="1459"/>
      <c r="E200" s="1219"/>
      <c r="F200" s="1361"/>
      <c r="G200" s="1432"/>
      <c r="H200" s="813"/>
      <c r="I200" s="53" t="s">
        <v>1121</v>
      </c>
      <c r="J200" s="109"/>
      <c r="K200" s="813"/>
      <c r="L200" s="106"/>
      <c r="M200" s="199"/>
      <c r="N200" s="194"/>
      <c r="O200" s="69"/>
      <c r="P200" s="69"/>
    </row>
    <row r="201" spans="1:16" s="12" customFormat="1" ht="0.75" hidden="1" customHeight="1">
      <c r="A201" s="35"/>
      <c r="B201" s="35"/>
      <c r="C201" s="5" t="s">
        <v>1129</v>
      </c>
      <c r="D201" s="1459"/>
      <c r="E201" s="1219"/>
      <c r="F201" s="1361"/>
      <c r="G201" s="225"/>
      <c r="H201" s="813"/>
      <c r="I201" s="53"/>
      <c r="J201" s="109"/>
      <c r="K201" s="813"/>
      <c r="L201" s="106"/>
      <c r="M201" s="199"/>
      <c r="N201" s="194"/>
      <c r="O201" s="69"/>
      <c r="P201" s="69"/>
    </row>
    <row r="202" spans="1:16" s="12" customFormat="1" ht="18.75" hidden="1" customHeight="1">
      <c r="A202" s="35" t="s">
        <v>269</v>
      </c>
      <c r="B202" s="35" t="s">
        <v>270</v>
      </c>
      <c r="C202" s="5"/>
      <c r="D202" s="1459"/>
      <c r="E202" s="1219"/>
      <c r="F202" s="1361" t="str">
        <f>INDEX(PT_DIFFERENTIATION_VTAR,MATCH(A202,PT_DIFFERENTIATION_VTAR_ID,0))</f>
        <v>Тариф на транспортировку сточных вод</v>
      </c>
      <c r="G202" s="1432" t="str">
        <f>INDEX(PT_DIFFERENTIATION_NTAR,MATCH(B202,PT_DIFFERENTIATION_NTAR_ID,0))</f>
        <v/>
      </c>
      <c r="H202" s="753"/>
      <c r="I202" s="938"/>
      <c r="J202" s="964"/>
      <c r="K202" s="357"/>
      <c r="L202" s="753" t="s">
        <v>305</v>
      </c>
      <c r="M202" s="199"/>
      <c r="N202" s="194"/>
      <c r="O202" s="69"/>
      <c r="P202" s="69"/>
    </row>
    <row r="203" spans="1:16" s="12" customFormat="1" ht="18.75" hidden="1" customHeight="1">
      <c r="A203" s="35"/>
      <c r="B203" s="35"/>
      <c r="C203" s="5" t="s">
        <v>1122</v>
      </c>
      <c r="D203" s="1459"/>
      <c r="E203" s="1219"/>
      <c r="F203" s="1361"/>
      <c r="G203" s="1432"/>
      <c r="H203" s="813"/>
      <c r="I203" s="53" t="s">
        <v>1121</v>
      </c>
      <c r="J203" s="109"/>
      <c r="K203" s="813"/>
      <c r="L203" s="106"/>
      <c r="M203" s="199"/>
      <c r="N203" s="194"/>
      <c r="O203" s="69"/>
      <c r="P203" s="69"/>
    </row>
    <row r="204" spans="1:16" s="12" customFormat="1" ht="0.75" hidden="1" customHeight="1">
      <c r="A204" s="35"/>
      <c r="B204" s="35"/>
      <c r="C204" s="5" t="s">
        <v>1129</v>
      </c>
      <c r="D204" s="1459"/>
      <c r="E204" s="1219"/>
      <c r="F204" s="1361"/>
      <c r="G204" s="225"/>
      <c r="H204" s="813"/>
      <c r="I204" s="53"/>
      <c r="J204" s="109"/>
      <c r="K204" s="813"/>
      <c r="L204" s="106"/>
      <c r="M204" s="199"/>
      <c r="N204" s="194"/>
      <c r="O204" s="69"/>
      <c r="P204" s="69"/>
    </row>
    <row r="205" spans="1:16" s="12" customFormat="1" ht="18.75" hidden="1" customHeight="1">
      <c r="A205" s="35" t="s">
        <v>274</v>
      </c>
      <c r="B205" s="35" t="s">
        <v>275</v>
      </c>
      <c r="C205" s="5"/>
      <c r="D205" s="1459"/>
      <c r="E205" s="1219"/>
      <c r="F205" s="1361" t="str">
        <f>INDEX(PT_DIFFERENTIATION_VTAR,MATCH(A205,PT_DIFFERENTIATION_VTAR_ID,0))</f>
        <v>Тариф на подключение (технологическое присоединение) к централизованной системе водоотведения</v>
      </c>
      <c r="G205" s="1432" t="str">
        <f>INDEX(PT_DIFFERENTIATION_NTAR,MATCH(B205,PT_DIFFERENTIATION_NTAR_ID,0))</f>
        <v/>
      </c>
      <c r="H205" s="753"/>
      <c r="I205" s="938"/>
      <c r="J205" s="964"/>
      <c r="K205" s="357"/>
      <c r="L205" s="753" t="s">
        <v>305</v>
      </c>
      <c r="M205" s="199"/>
      <c r="N205" s="194"/>
      <c r="O205" s="69"/>
      <c r="P205" s="69"/>
    </row>
    <row r="206" spans="1:16" s="12" customFormat="1" ht="18.75" hidden="1" customHeight="1">
      <c r="A206" s="35"/>
      <c r="B206" s="35"/>
      <c r="C206" s="5" t="s">
        <v>1122</v>
      </c>
      <c r="D206" s="1459"/>
      <c r="E206" s="1219"/>
      <c r="F206" s="1361"/>
      <c r="G206" s="1432"/>
      <c r="H206" s="813"/>
      <c r="I206" s="53" t="s">
        <v>1121</v>
      </c>
      <c r="J206" s="109"/>
      <c r="K206" s="813"/>
      <c r="L206" s="106"/>
      <c r="M206" s="199"/>
      <c r="N206" s="194"/>
      <c r="O206" s="69"/>
      <c r="P206" s="69"/>
    </row>
    <row r="207" spans="1:16" s="12" customFormat="1" ht="0.75" customHeight="1">
      <c r="A207" s="35"/>
      <c r="B207" s="35"/>
      <c r="C207" s="5" t="s">
        <v>1129</v>
      </c>
      <c r="D207" s="1459"/>
      <c r="E207" s="1219"/>
      <c r="F207" s="1361"/>
      <c r="G207" s="225"/>
      <c r="H207" s="813"/>
      <c r="I207" s="53"/>
      <c r="J207" s="109"/>
      <c r="K207" s="813"/>
      <c r="L207" s="106"/>
      <c r="M207" s="199"/>
      <c r="N207" s="194"/>
      <c r="O207" s="69"/>
      <c r="P207" s="69"/>
    </row>
    <row r="208" spans="1:16" ht="26.25" customHeight="1">
      <c r="A208" s="35"/>
      <c r="B208" s="35"/>
      <c r="D208" s="29"/>
      <c r="E208" s="64" t="s">
        <v>107</v>
      </c>
      <c r="F208" s="145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1458"/>
      <c r="H208" s="1458"/>
      <c r="I208" s="1458"/>
      <c r="J208" s="1458"/>
      <c r="K208" s="1458"/>
      <c r="L208" s="1458"/>
      <c r="M208" s="112"/>
      <c r="N208" s="194"/>
    </row>
    <row r="209" spans="1:16" s="12" customFormat="1" ht="60.75" hidden="1" customHeight="1">
      <c r="A209" s="35" t="s">
        <v>156</v>
      </c>
      <c r="B209" s="35" t="s">
        <v>157</v>
      </c>
      <c r="C209" s="5"/>
      <c r="D209" s="1459"/>
      <c r="E209" s="1219"/>
      <c r="F209" s="136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32" t="str">
        <f>INDEX(PT_DIFFERENTIATION_NTAR,MATCH(B209,PT_DIFFERENTIATION_NTAR_ID,0))</f>
        <v/>
      </c>
      <c r="H209" s="753"/>
      <c r="I209" s="938"/>
      <c r="J209" s="964"/>
      <c r="K209" s="357"/>
      <c r="L209" s="753" t="s">
        <v>305</v>
      </c>
      <c r="M209" s="1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194"/>
      <c r="O209" s="69"/>
      <c r="P209" s="69"/>
    </row>
    <row r="210" spans="1:16" s="12" customFormat="1" ht="18.75" hidden="1" customHeight="1">
      <c r="A210" s="35"/>
      <c r="B210" s="35"/>
      <c r="C210" s="5" t="s">
        <v>1122</v>
      </c>
      <c r="D210" s="1459"/>
      <c r="E210" s="1219"/>
      <c r="F210" s="1361"/>
      <c r="G210" s="1432"/>
      <c r="H210" s="813"/>
      <c r="I210" s="53" t="s">
        <v>1121</v>
      </c>
      <c r="J210" s="109"/>
      <c r="K210" s="813"/>
      <c r="L210" s="106"/>
      <c r="M210" s="1188"/>
      <c r="N210" s="194"/>
      <c r="O210" s="69"/>
      <c r="P210" s="69"/>
    </row>
    <row r="211" spans="1:16" s="12" customFormat="1" ht="0.75" hidden="1" customHeight="1">
      <c r="A211" s="35"/>
      <c r="B211" s="35"/>
      <c r="C211" s="5" t="s">
        <v>1129</v>
      </c>
      <c r="D211" s="1459"/>
      <c r="E211" s="1219"/>
      <c r="F211" s="1361"/>
      <c r="G211" s="225"/>
      <c r="H211" s="813"/>
      <c r="I211" s="53"/>
      <c r="J211" s="109"/>
      <c r="K211" s="813"/>
      <c r="L211" s="106"/>
      <c r="M211" s="1188"/>
      <c r="N211" s="194"/>
      <c r="O211" s="69"/>
      <c r="P211" s="69"/>
    </row>
    <row r="212" spans="1:16" s="12" customFormat="1" ht="45" hidden="1" customHeight="1">
      <c r="A212" s="35" t="s">
        <v>161</v>
      </c>
      <c r="B212" s="35" t="s">
        <v>162</v>
      </c>
      <c r="C212" s="5"/>
      <c r="D212" s="1459"/>
      <c r="E212" s="1219"/>
      <c r="F212" s="1361" t="str">
        <f>INDEX(PT_DIFFERENTIATION_VTAR,MATCH(A212,PT_DIFFERENTIATION_VTAR_ID,0))</f>
        <v/>
      </c>
      <c r="G212" s="1432" t="str">
        <f>INDEX(PT_DIFFERENTIATION_NTAR,MATCH(B212,PT_DIFFERENTIATION_NTAR_ID,0))</f>
        <v/>
      </c>
      <c r="H212" s="753"/>
      <c r="I212" s="938"/>
      <c r="J212" s="964"/>
      <c r="K212" s="357"/>
      <c r="L212" s="753" t="s">
        <v>305</v>
      </c>
      <c r="M212" s="1189"/>
      <c r="N212" s="194"/>
      <c r="O212" s="69"/>
      <c r="P212" s="69"/>
    </row>
    <row r="213" spans="1:16" s="12" customFormat="1" ht="18.75" hidden="1" customHeight="1">
      <c r="A213" s="35"/>
      <c r="B213" s="35"/>
      <c r="C213" s="5" t="s">
        <v>1122</v>
      </c>
      <c r="D213" s="1459"/>
      <c r="E213" s="1219"/>
      <c r="F213" s="1361"/>
      <c r="G213" s="1432"/>
      <c r="H213" s="813"/>
      <c r="I213" s="53" t="s">
        <v>1121</v>
      </c>
      <c r="J213" s="109"/>
      <c r="K213" s="813"/>
      <c r="L213" s="106"/>
      <c r="M213" s="997"/>
      <c r="N213" s="194"/>
      <c r="O213" s="69"/>
      <c r="P213" s="69"/>
    </row>
    <row r="214" spans="1:16" s="12" customFormat="1" ht="0.75" hidden="1" customHeight="1">
      <c r="A214" s="35"/>
      <c r="B214" s="35"/>
      <c r="C214" s="5" t="s">
        <v>1129</v>
      </c>
      <c r="D214" s="1459"/>
      <c r="E214" s="1219"/>
      <c r="F214" s="1361"/>
      <c r="G214" s="225"/>
      <c r="H214" s="813"/>
      <c r="I214" s="53"/>
      <c r="J214" s="109"/>
      <c r="K214" s="813"/>
      <c r="L214" s="106"/>
      <c r="M214" s="199"/>
      <c r="N214" s="194"/>
      <c r="O214" s="69"/>
      <c r="P214" s="69"/>
    </row>
    <row r="215" spans="1:16" s="12" customFormat="1" ht="45" hidden="1" customHeight="1">
      <c r="A215" s="35" t="s">
        <v>168</v>
      </c>
      <c r="B215" s="35" t="s">
        <v>169</v>
      </c>
      <c r="C215" s="5"/>
      <c r="D215" s="1459"/>
      <c r="E215" s="1219"/>
      <c r="F215" s="136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32" t="str">
        <f>INDEX(PT_DIFFERENTIATION_NTAR,MATCH(B215,PT_DIFFERENTIATION_NTAR_ID,0))</f>
        <v/>
      </c>
      <c r="H215" s="753"/>
      <c r="I215" s="938"/>
      <c r="J215" s="964"/>
      <c r="K215" s="357"/>
      <c r="L215" s="753" t="s">
        <v>305</v>
      </c>
      <c r="M215" s="199"/>
      <c r="N215" s="194"/>
      <c r="O215" s="69"/>
      <c r="P215" s="69"/>
    </row>
    <row r="216" spans="1:16" s="12" customFormat="1" ht="18.75" hidden="1" customHeight="1">
      <c r="A216" s="35"/>
      <c r="B216" s="35"/>
      <c r="C216" s="5" t="s">
        <v>1122</v>
      </c>
      <c r="D216" s="1459"/>
      <c r="E216" s="1219"/>
      <c r="F216" s="1361"/>
      <c r="G216" s="1432"/>
      <c r="H216" s="813"/>
      <c r="I216" s="53" t="s">
        <v>1121</v>
      </c>
      <c r="J216" s="109"/>
      <c r="K216" s="813"/>
      <c r="L216" s="106"/>
      <c r="M216" s="199"/>
      <c r="N216" s="194"/>
      <c r="O216" s="69"/>
      <c r="P216" s="69"/>
    </row>
    <row r="217" spans="1:16" s="12" customFormat="1" ht="0.75" hidden="1" customHeight="1">
      <c r="A217" s="35"/>
      <c r="B217" s="35"/>
      <c r="C217" s="5" t="s">
        <v>1129</v>
      </c>
      <c r="D217" s="1459"/>
      <c r="E217" s="1219"/>
      <c r="F217" s="1361"/>
      <c r="G217" s="225"/>
      <c r="H217" s="813"/>
      <c r="I217" s="53"/>
      <c r="J217" s="109"/>
      <c r="K217" s="813"/>
      <c r="L217" s="106"/>
      <c r="M217" s="199"/>
      <c r="N217" s="194"/>
      <c r="O217" s="69"/>
      <c r="P217" s="69"/>
    </row>
    <row r="218" spans="1:16" s="12" customFormat="1" ht="45" hidden="1" customHeight="1">
      <c r="A218" s="35" t="s">
        <v>174</v>
      </c>
      <c r="B218" s="35" t="s">
        <v>175</v>
      </c>
      <c r="C218" s="5"/>
      <c r="D218" s="1459"/>
      <c r="E218" s="1219"/>
      <c r="F218" s="136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32" t="str">
        <f>INDEX(PT_DIFFERENTIATION_NTAR,MATCH(B218,PT_DIFFERENTIATION_NTAR_ID,0))</f>
        <v/>
      </c>
      <c r="H218" s="753"/>
      <c r="I218" s="938"/>
      <c r="J218" s="964"/>
      <c r="K218" s="357"/>
      <c r="L218" s="753" t="s">
        <v>305</v>
      </c>
      <c r="M218" s="199"/>
      <c r="N218" s="194"/>
      <c r="O218" s="69"/>
      <c r="P218" s="69"/>
    </row>
    <row r="219" spans="1:16" s="12" customFormat="1" ht="18.75" hidden="1" customHeight="1">
      <c r="A219" s="35"/>
      <c r="B219" s="35"/>
      <c r="C219" s="5" t="s">
        <v>1122</v>
      </c>
      <c r="D219" s="1459"/>
      <c r="E219" s="1219"/>
      <c r="F219" s="1361"/>
      <c r="G219" s="1432"/>
      <c r="H219" s="813"/>
      <c r="I219" s="53" t="s">
        <v>1121</v>
      </c>
      <c r="J219" s="109"/>
      <c r="K219" s="813"/>
      <c r="L219" s="106"/>
      <c r="M219" s="199"/>
      <c r="N219" s="194"/>
      <c r="O219" s="69"/>
      <c r="P219" s="69"/>
    </row>
    <row r="220" spans="1:16" s="12" customFormat="1" ht="0.75" hidden="1" customHeight="1">
      <c r="A220" s="35"/>
      <c r="B220" s="35"/>
      <c r="C220" s="5" t="s">
        <v>1129</v>
      </c>
      <c r="D220" s="1459"/>
      <c r="E220" s="1219"/>
      <c r="F220" s="1361"/>
      <c r="G220" s="225"/>
      <c r="H220" s="813"/>
      <c r="I220" s="53"/>
      <c r="J220" s="109"/>
      <c r="K220" s="813"/>
      <c r="L220" s="106"/>
      <c r="M220" s="199"/>
      <c r="N220" s="194"/>
      <c r="O220" s="69"/>
      <c r="P220" s="69"/>
    </row>
    <row r="221" spans="1:16" s="12" customFormat="1" ht="18.75" hidden="1" customHeight="1">
      <c r="A221" s="35" t="s">
        <v>180</v>
      </c>
      <c r="B221" s="35" t="s">
        <v>181</v>
      </c>
      <c r="C221" s="5"/>
      <c r="D221" s="1459"/>
      <c r="E221" s="1219"/>
      <c r="F221" s="1361" t="str">
        <f>INDEX(PT_DIFFERENTIATION_VTAR,MATCH(A221,PT_DIFFERENTIATION_VTAR_ID,0))</f>
        <v>Тарифы на услуги по передаче тепловой энергии</v>
      </c>
      <c r="G221" s="1432" t="str">
        <f>INDEX(PT_DIFFERENTIATION_NTAR,MATCH(B221,PT_DIFFERENTIATION_NTAR_ID,0))</f>
        <v/>
      </c>
      <c r="H221" s="753"/>
      <c r="I221" s="938"/>
      <c r="J221" s="964"/>
      <c r="K221" s="357"/>
      <c r="L221" s="753" t="s">
        <v>305</v>
      </c>
      <c r="M221" s="199"/>
      <c r="N221" s="194"/>
      <c r="O221" s="69"/>
      <c r="P221" s="69"/>
    </row>
    <row r="222" spans="1:16" s="12" customFormat="1" ht="18.75" hidden="1" customHeight="1">
      <c r="A222" s="35"/>
      <c r="B222" s="35"/>
      <c r="C222" s="5" t="s">
        <v>1122</v>
      </c>
      <c r="D222" s="1459"/>
      <c r="E222" s="1219"/>
      <c r="F222" s="1361"/>
      <c r="G222" s="1432"/>
      <c r="H222" s="813"/>
      <c r="I222" s="53" t="s">
        <v>1121</v>
      </c>
      <c r="J222" s="109"/>
      <c r="K222" s="813"/>
      <c r="L222" s="106"/>
      <c r="M222" s="199"/>
      <c r="N222" s="194"/>
      <c r="O222" s="69"/>
      <c r="P222" s="69"/>
    </row>
    <row r="223" spans="1:16" s="12" customFormat="1" ht="0.75" hidden="1" customHeight="1">
      <c r="A223" s="35"/>
      <c r="B223" s="35"/>
      <c r="C223" s="5" t="s">
        <v>1129</v>
      </c>
      <c r="D223" s="1459"/>
      <c r="E223" s="1219"/>
      <c r="F223" s="1361"/>
      <c r="G223" s="225"/>
      <c r="H223" s="813"/>
      <c r="I223" s="53"/>
      <c r="J223" s="109"/>
      <c r="K223" s="813"/>
      <c r="L223" s="106"/>
      <c r="M223" s="199"/>
      <c r="N223" s="194"/>
      <c r="O223" s="69"/>
      <c r="P223" s="69"/>
    </row>
    <row r="224" spans="1:16" s="12" customFormat="1" ht="18.75" hidden="1" customHeight="1">
      <c r="A224" s="35" t="s">
        <v>186</v>
      </c>
      <c r="B224" s="35" t="s">
        <v>187</v>
      </c>
      <c r="C224" s="5"/>
      <c r="D224" s="1459"/>
      <c r="E224" s="1219"/>
      <c r="F224" s="1361" t="str">
        <f>INDEX(PT_DIFFERENTIATION_VTAR,MATCH(A224,PT_DIFFERENTIATION_VTAR_ID,0))</f>
        <v>Тарифы на услуги по передаче теплоносителя</v>
      </c>
      <c r="G224" s="1432" t="str">
        <f>INDEX(PT_DIFFERENTIATION_NTAR,MATCH(B224,PT_DIFFERENTIATION_NTAR_ID,0))</f>
        <v/>
      </c>
      <c r="H224" s="753"/>
      <c r="I224" s="938"/>
      <c r="J224" s="964"/>
      <c r="K224" s="357"/>
      <c r="L224" s="753" t="s">
        <v>305</v>
      </c>
      <c r="M224" s="199"/>
      <c r="N224" s="194"/>
      <c r="O224" s="69"/>
      <c r="P224" s="69"/>
    </row>
    <row r="225" spans="1:16" s="12" customFormat="1" ht="18.75" hidden="1" customHeight="1">
      <c r="A225" s="35"/>
      <c r="B225" s="35"/>
      <c r="C225" s="5" t="s">
        <v>1122</v>
      </c>
      <c r="D225" s="1459"/>
      <c r="E225" s="1219"/>
      <c r="F225" s="1361"/>
      <c r="G225" s="1432"/>
      <c r="H225" s="813"/>
      <c r="I225" s="53" t="s">
        <v>1121</v>
      </c>
      <c r="J225" s="109"/>
      <c r="K225" s="813"/>
      <c r="L225" s="106"/>
      <c r="M225" s="199"/>
      <c r="N225" s="194"/>
      <c r="O225" s="69"/>
      <c r="P225" s="69"/>
    </row>
    <row r="226" spans="1:16" s="12" customFormat="1" ht="0.75" hidden="1" customHeight="1">
      <c r="A226" s="35"/>
      <c r="B226" s="35"/>
      <c r="C226" s="5" t="s">
        <v>1129</v>
      </c>
      <c r="D226" s="1459"/>
      <c r="E226" s="1219"/>
      <c r="F226" s="1361"/>
      <c r="G226" s="225"/>
      <c r="H226" s="813"/>
      <c r="I226" s="53"/>
      <c r="J226" s="109"/>
      <c r="K226" s="813"/>
      <c r="L226" s="106"/>
      <c r="M226" s="199"/>
      <c r="N226" s="194"/>
      <c r="O226" s="69"/>
      <c r="P226" s="69"/>
    </row>
    <row r="227" spans="1:16" s="12" customFormat="1" ht="18.75" hidden="1" customHeight="1">
      <c r="A227" s="35" t="s">
        <v>192</v>
      </c>
      <c r="B227" s="35" t="s">
        <v>193</v>
      </c>
      <c r="C227" s="5"/>
      <c r="D227" s="1459"/>
      <c r="E227" s="1219"/>
      <c r="F227" s="136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32" t="str">
        <f>INDEX(PT_DIFFERENTIATION_NTAR,MATCH(B227,PT_DIFFERENTIATION_NTAR_ID,0))</f>
        <v/>
      </c>
      <c r="H227" s="753"/>
      <c r="I227" s="938"/>
      <c r="J227" s="964"/>
      <c r="K227" s="357"/>
      <c r="L227" s="753" t="s">
        <v>305</v>
      </c>
      <c r="M227" s="199"/>
      <c r="N227" s="194"/>
      <c r="O227" s="69"/>
      <c r="P227" s="69"/>
    </row>
    <row r="228" spans="1:16" s="12" customFormat="1" ht="18.75" hidden="1" customHeight="1">
      <c r="A228" s="35"/>
      <c r="B228" s="35"/>
      <c r="C228" s="5" t="s">
        <v>1122</v>
      </c>
      <c r="D228" s="1459"/>
      <c r="E228" s="1219"/>
      <c r="F228" s="1361"/>
      <c r="G228" s="1432"/>
      <c r="H228" s="813"/>
      <c r="I228" s="53" t="s">
        <v>1121</v>
      </c>
      <c r="J228" s="109"/>
      <c r="K228" s="813"/>
      <c r="L228" s="106"/>
      <c r="M228" s="199"/>
      <c r="N228" s="194"/>
      <c r="O228" s="69"/>
      <c r="P228" s="69"/>
    </row>
    <row r="229" spans="1:16" s="12" customFormat="1" ht="0.75" hidden="1" customHeight="1">
      <c r="A229" s="35"/>
      <c r="B229" s="35"/>
      <c r="C229" s="5" t="s">
        <v>1129</v>
      </c>
      <c r="D229" s="1459"/>
      <c r="E229" s="1219"/>
      <c r="F229" s="1361"/>
      <c r="G229" s="225"/>
      <c r="H229" s="813"/>
      <c r="I229" s="53"/>
      <c r="J229" s="109"/>
      <c r="K229" s="813"/>
      <c r="L229" s="106"/>
      <c r="M229" s="199"/>
      <c r="N229" s="194"/>
      <c r="O229" s="69"/>
      <c r="P229" s="69"/>
    </row>
    <row r="230" spans="1:16" s="12" customFormat="1" ht="18.75" hidden="1" customHeight="1">
      <c r="A230" s="35" t="s">
        <v>198</v>
      </c>
      <c r="B230" s="35" t="s">
        <v>199</v>
      </c>
      <c r="C230" s="5"/>
      <c r="D230" s="1459"/>
      <c r="E230" s="1219"/>
      <c r="F230" s="1361" t="str">
        <f>INDEX(PT_DIFFERENTIATION_VTAR,MATCH(A230,PT_DIFFERENTIATION_VTAR_ID,0))</f>
        <v>Плата за подключение (технологическое присоединение) к системе теплоснабжения</v>
      </c>
      <c r="G230" s="1432" t="str">
        <f>INDEX(PT_DIFFERENTIATION_NTAR,MATCH(B230,PT_DIFFERENTIATION_NTAR_ID,0))</f>
        <v/>
      </c>
      <c r="H230" s="753"/>
      <c r="I230" s="938"/>
      <c r="J230" s="964"/>
      <c r="K230" s="357"/>
      <c r="L230" s="753" t="s">
        <v>305</v>
      </c>
      <c r="M230" s="199"/>
      <c r="N230" s="194"/>
      <c r="O230" s="69"/>
      <c r="P230" s="69"/>
    </row>
    <row r="231" spans="1:16" s="12" customFormat="1" ht="18.75" hidden="1" customHeight="1">
      <c r="A231" s="35"/>
      <c r="B231" s="35"/>
      <c r="C231" s="5" t="s">
        <v>1122</v>
      </c>
      <c r="D231" s="1459"/>
      <c r="E231" s="1219"/>
      <c r="F231" s="1361"/>
      <c r="G231" s="1432"/>
      <c r="H231" s="813"/>
      <c r="I231" s="53" t="s">
        <v>1121</v>
      </c>
      <c r="J231" s="109"/>
      <c r="K231" s="813"/>
      <c r="L231" s="106"/>
      <c r="M231" s="199"/>
      <c r="N231" s="194"/>
      <c r="O231" s="69"/>
      <c r="P231" s="69"/>
    </row>
    <row r="232" spans="1:16" s="12" customFormat="1" ht="0.75" hidden="1" customHeight="1">
      <c r="A232" s="35"/>
      <c r="B232" s="35"/>
      <c r="C232" s="5" t="s">
        <v>1129</v>
      </c>
      <c r="D232" s="1459"/>
      <c r="E232" s="1219"/>
      <c r="F232" s="1361"/>
      <c r="G232" s="225"/>
      <c r="H232" s="813"/>
      <c r="I232" s="53"/>
      <c r="J232" s="109"/>
      <c r="K232" s="813"/>
      <c r="L232" s="106"/>
      <c r="M232" s="199"/>
      <c r="N232" s="194"/>
      <c r="O232" s="69"/>
      <c r="P232" s="69"/>
    </row>
    <row r="233" spans="1:16" s="12" customFormat="1" ht="18.75" hidden="1" customHeight="1">
      <c r="A233" s="35" t="s">
        <v>204</v>
      </c>
      <c r="B233" s="35" t="s">
        <v>205</v>
      </c>
      <c r="C233" s="5"/>
      <c r="D233" s="1459"/>
      <c r="E233" s="1219"/>
      <c r="F233" s="1361" t="str">
        <f>INDEX(PT_DIFFERENTIATION_VTAR,MATCH(A233,PT_DIFFERENTIATION_VTAR_ID,0))</f>
        <v>Плата за подключение (технологическое присоединение) к системе теплоснабжения (индивидуальная)</v>
      </c>
      <c r="G233" s="1432" t="str">
        <f>INDEX(PT_DIFFERENTIATION_NTAR,MATCH(B233,PT_DIFFERENTIATION_NTAR_ID,0))</f>
        <v/>
      </c>
      <c r="H233" s="753"/>
      <c r="I233" s="938"/>
      <c r="J233" s="964"/>
      <c r="K233" s="357"/>
      <c r="L233" s="753" t="s">
        <v>305</v>
      </c>
      <c r="M233" s="199"/>
      <c r="N233" s="194"/>
      <c r="O233" s="69"/>
      <c r="P233" s="69"/>
    </row>
    <row r="234" spans="1:16" s="12" customFormat="1" ht="18.75" hidden="1" customHeight="1">
      <c r="A234" s="35"/>
      <c r="B234" s="35"/>
      <c r="C234" s="5" t="s">
        <v>1122</v>
      </c>
      <c r="D234" s="1459"/>
      <c r="E234" s="1219"/>
      <c r="F234" s="1361"/>
      <c r="G234" s="1432"/>
      <c r="H234" s="813"/>
      <c r="I234" s="53" t="s">
        <v>1121</v>
      </c>
      <c r="J234" s="109"/>
      <c r="K234" s="813"/>
      <c r="L234" s="106"/>
      <c r="M234" s="199"/>
      <c r="N234" s="194"/>
      <c r="O234" s="69"/>
      <c r="P234" s="69"/>
    </row>
    <row r="235" spans="1:16" s="12" customFormat="1" ht="0.75" hidden="1" customHeight="1">
      <c r="A235" s="35"/>
      <c r="B235" s="35"/>
      <c r="C235" s="5" t="s">
        <v>1129</v>
      </c>
      <c r="D235" s="1459"/>
      <c r="E235" s="1219"/>
      <c r="F235" s="1361"/>
      <c r="G235" s="225"/>
      <c r="H235" s="813"/>
      <c r="I235" s="53"/>
      <c r="J235" s="109"/>
      <c r="K235" s="813"/>
      <c r="L235" s="106"/>
      <c r="M235" s="199"/>
      <c r="N235" s="194"/>
      <c r="O235" s="69"/>
      <c r="P235" s="69"/>
    </row>
    <row r="236" spans="1:16" s="12" customFormat="1" ht="18.75" hidden="1" customHeight="1">
      <c r="A236" s="35" t="s">
        <v>224</v>
      </c>
      <c r="B236" s="35" t="s">
        <v>225</v>
      </c>
      <c r="C236" s="5"/>
      <c r="D236" s="1459"/>
      <c r="E236" s="1219"/>
      <c r="F236" s="1361" t="str">
        <f>INDEX(PT_DIFFERENTIATION_VTAR,MATCH(A236,PT_DIFFERENTIATION_VTAR_ID,0))</f>
        <v>Тариф на питьевую воду (питьевое водоснабжение)</v>
      </c>
      <c r="G236" s="1432" t="str">
        <f>INDEX(PT_DIFFERENTIATION_NTAR,MATCH(B236,PT_DIFFERENTIATION_NTAR_ID,0))</f>
        <v/>
      </c>
      <c r="H236" s="753"/>
      <c r="I236" s="938"/>
      <c r="J236" s="964"/>
      <c r="K236" s="357"/>
      <c r="L236" s="753" t="s">
        <v>305</v>
      </c>
      <c r="M236" s="199"/>
      <c r="N236" s="194"/>
      <c r="O236" s="69"/>
      <c r="P236" s="69"/>
    </row>
    <row r="237" spans="1:16" s="12" customFormat="1" ht="18.75" hidden="1" customHeight="1">
      <c r="A237" s="35"/>
      <c r="B237" s="35"/>
      <c r="C237" s="5" t="s">
        <v>1122</v>
      </c>
      <c r="D237" s="1459"/>
      <c r="E237" s="1219"/>
      <c r="F237" s="1361"/>
      <c r="G237" s="1432"/>
      <c r="H237" s="813"/>
      <c r="I237" s="53" t="s">
        <v>1121</v>
      </c>
      <c r="J237" s="109"/>
      <c r="K237" s="813"/>
      <c r="L237" s="106"/>
      <c r="M237" s="199"/>
      <c r="N237" s="194"/>
      <c r="O237" s="69"/>
      <c r="P237" s="69"/>
    </row>
    <row r="238" spans="1:16" s="12" customFormat="1" ht="0.75" hidden="1" customHeight="1">
      <c r="A238" s="35"/>
      <c r="B238" s="35"/>
      <c r="C238" s="5" t="s">
        <v>1129</v>
      </c>
      <c r="D238" s="1459"/>
      <c r="E238" s="1219"/>
      <c r="F238" s="1361"/>
      <c r="G238" s="225"/>
      <c r="H238" s="813"/>
      <c r="I238" s="53"/>
      <c r="J238" s="109"/>
      <c r="K238" s="813"/>
      <c r="L238" s="106"/>
      <c r="M238" s="199"/>
      <c r="N238" s="194"/>
      <c r="O238" s="69"/>
      <c r="P238" s="69"/>
    </row>
    <row r="239" spans="1:16" s="12" customFormat="1" ht="18.75" hidden="1" customHeight="1">
      <c r="A239" s="35" t="s">
        <v>229</v>
      </c>
      <c r="B239" s="35" t="s">
        <v>230</v>
      </c>
      <c r="C239" s="5"/>
      <c r="D239" s="1459"/>
      <c r="E239" s="1219"/>
      <c r="F239" s="1361" t="str">
        <f>INDEX(PT_DIFFERENTIATION_VTAR,MATCH(A239,PT_DIFFERENTIATION_VTAR_ID,0))</f>
        <v>Тариф на техническую воду</v>
      </c>
      <c r="G239" s="1432" t="str">
        <f>INDEX(PT_DIFFERENTIATION_NTAR,MATCH(B239,PT_DIFFERENTIATION_NTAR_ID,0))</f>
        <v/>
      </c>
      <c r="H239" s="753"/>
      <c r="I239" s="938"/>
      <c r="J239" s="964"/>
      <c r="K239" s="357"/>
      <c r="L239" s="753" t="s">
        <v>305</v>
      </c>
      <c r="M239" s="199"/>
      <c r="N239" s="194"/>
      <c r="O239" s="69"/>
      <c r="P239" s="69"/>
    </row>
    <row r="240" spans="1:16" s="12" customFormat="1" ht="18.75" hidden="1" customHeight="1">
      <c r="A240" s="35"/>
      <c r="B240" s="35"/>
      <c r="C240" s="5" t="s">
        <v>1122</v>
      </c>
      <c r="D240" s="1459"/>
      <c r="E240" s="1219"/>
      <c r="F240" s="1361"/>
      <c r="G240" s="1432"/>
      <c r="H240" s="813"/>
      <c r="I240" s="53" t="s">
        <v>1121</v>
      </c>
      <c r="J240" s="109"/>
      <c r="K240" s="813"/>
      <c r="L240" s="106"/>
      <c r="M240" s="199"/>
      <c r="N240" s="194"/>
      <c r="O240" s="69"/>
      <c r="P240" s="69"/>
    </row>
    <row r="241" spans="1:16" s="12" customFormat="1" ht="0.75" hidden="1" customHeight="1">
      <c r="A241" s="35"/>
      <c r="B241" s="35"/>
      <c r="C241" s="5" t="s">
        <v>1129</v>
      </c>
      <c r="D241" s="1459"/>
      <c r="E241" s="1219"/>
      <c r="F241" s="1361"/>
      <c r="G241" s="225"/>
      <c r="H241" s="813"/>
      <c r="I241" s="53"/>
      <c r="J241" s="109"/>
      <c r="K241" s="813"/>
      <c r="L241" s="106"/>
      <c r="M241" s="199"/>
      <c r="N241" s="194"/>
      <c r="O241" s="69"/>
      <c r="P241" s="69"/>
    </row>
    <row r="242" spans="1:16" s="12" customFormat="1" ht="18.75" hidden="1" customHeight="1">
      <c r="A242" s="35" t="s">
        <v>234</v>
      </c>
      <c r="B242" s="35" t="s">
        <v>235</v>
      </c>
      <c r="C242" s="5"/>
      <c r="D242" s="1459"/>
      <c r="E242" s="1219"/>
      <c r="F242" s="1361" t="str">
        <f>INDEX(PT_DIFFERENTIATION_VTAR,MATCH(A242,PT_DIFFERENTIATION_VTAR_ID,0))</f>
        <v>Тариф на транспортировку воды</v>
      </c>
      <c r="G242" s="1432" t="str">
        <f>INDEX(PT_DIFFERENTIATION_NTAR,MATCH(B242,PT_DIFFERENTIATION_NTAR_ID,0))</f>
        <v/>
      </c>
      <c r="H242" s="753"/>
      <c r="I242" s="938"/>
      <c r="J242" s="964"/>
      <c r="K242" s="357"/>
      <c r="L242" s="753" t="s">
        <v>305</v>
      </c>
      <c r="M242" s="199"/>
      <c r="N242" s="194"/>
      <c r="O242" s="69"/>
      <c r="P242" s="69"/>
    </row>
    <row r="243" spans="1:16" s="12" customFormat="1" ht="18.75" hidden="1" customHeight="1">
      <c r="A243" s="35"/>
      <c r="B243" s="35"/>
      <c r="C243" s="5" t="s">
        <v>1122</v>
      </c>
      <c r="D243" s="1459"/>
      <c r="E243" s="1219"/>
      <c r="F243" s="1361"/>
      <c r="G243" s="1432"/>
      <c r="H243" s="813"/>
      <c r="I243" s="53" t="s">
        <v>1121</v>
      </c>
      <c r="J243" s="109"/>
      <c r="K243" s="813"/>
      <c r="L243" s="106"/>
      <c r="M243" s="199"/>
      <c r="N243" s="194"/>
      <c r="O243" s="69"/>
      <c r="P243" s="69"/>
    </row>
    <row r="244" spans="1:16" s="12" customFormat="1" ht="0.75" hidden="1" customHeight="1">
      <c r="A244" s="35"/>
      <c r="B244" s="35"/>
      <c r="C244" s="5" t="s">
        <v>1129</v>
      </c>
      <c r="D244" s="1459"/>
      <c r="E244" s="1219"/>
      <c r="F244" s="1361"/>
      <c r="G244" s="225"/>
      <c r="H244" s="813"/>
      <c r="I244" s="53"/>
      <c r="J244" s="109"/>
      <c r="K244" s="813"/>
      <c r="L244" s="106"/>
      <c r="M244" s="199"/>
      <c r="N244" s="194"/>
      <c r="O244" s="69"/>
      <c r="P244" s="69"/>
    </row>
    <row r="245" spans="1:16" s="12" customFormat="1" ht="18.75" hidden="1" customHeight="1">
      <c r="A245" s="35" t="s">
        <v>239</v>
      </c>
      <c r="B245" s="35" t="s">
        <v>240</v>
      </c>
      <c r="C245" s="5"/>
      <c r="D245" s="1459"/>
      <c r="E245" s="1219"/>
      <c r="F245" s="1361" t="str">
        <f>INDEX(PT_DIFFERENTIATION_VTAR,MATCH(A245,PT_DIFFERENTIATION_VTAR_ID,0))</f>
        <v>Тариф на подвоз воды</v>
      </c>
      <c r="G245" s="1432" t="str">
        <f>INDEX(PT_DIFFERENTIATION_NTAR,MATCH(B245,PT_DIFFERENTIATION_NTAR_ID,0))</f>
        <v/>
      </c>
      <c r="H245" s="753"/>
      <c r="I245" s="938"/>
      <c r="J245" s="964"/>
      <c r="K245" s="357"/>
      <c r="L245" s="753" t="s">
        <v>305</v>
      </c>
      <c r="M245" s="199"/>
      <c r="N245" s="194"/>
      <c r="O245" s="69"/>
      <c r="P245" s="69"/>
    </row>
    <row r="246" spans="1:16" s="12" customFormat="1" ht="18.75" hidden="1" customHeight="1">
      <c r="A246" s="35"/>
      <c r="B246" s="35"/>
      <c r="C246" s="5" t="s">
        <v>1122</v>
      </c>
      <c r="D246" s="1459"/>
      <c r="E246" s="1219"/>
      <c r="F246" s="1361"/>
      <c r="G246" s="1432"/>
      <c r="H246" s="813"/>
      <c r="I246" s="53" t="s">
        <v>1121</v>
      </c>
      <c r="J246" s="109"/>
      <c r="K246" s="813"/>
      <c r="L246" s="106"/>
      <c r="M246" s="199"/>
      <c r="N246" s="194"/>
      <c r="O246" s="69"/>
      <c r="P246" s="69"/>
    </row>
    <row r="247" spans="1:16" s="12" customFormat="1" ht="0.75" hidden="1" customHeight="1">
      <c r="A247" s="35"/>
      <c r="B247" s="35"/>
      <c r="C247" s="5" t="s">
        <v>1129</v>
      </c>
      <c r="D247" s="1459"/>
      <c r="E247" s="1219"/>
      <c r="F247" s="1361"/>
      <c r="G247" s="225"/>
      <c r="H247" s="813"/>
      <c r="I247" s="53"/>
      <c r="J247" s="109"/>
      <c r="K247" s="813"/>
      <c r="L247" s="106"/>
      <c r="M247" s="199"/>
      <c r="N247" s="194"/>
      <c r="O247" s="69"/>
      <c r="P247" s="69"/>
    </row>
    <row r="248" spans="1:16" s="12" customFormat="1" ht="18.75" hidden="1" customHeight="1">
      <c r="A248" s="35" t="s">
        <v>244</v>
      </c>
      <c r="B248" s="35" t="s">
        <v>245</v>
      </c>
      <c r="C248" s="5"/>
      <c r="D248" s="1459"/>
      <c r="E248" s="1219"/>
      <c r="F248" s="136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32" t="str">
        <f>INDEX(PT_DIFFERENTIATION_NTAR,MATCH(B248,PT_DIFFERENTIATION_NTAR_ID,0))</f>
        <v/>
      </c>
      <c r="H248" s="753"/>
      <c r="I248" s="938"/>
      <c r="J248" s="964"/>
      <c r="K248" s="357"/>
      <c r="L248" s="753" t="s">
        <v>305</v>
      </c>
      <c r="M248" s="199"/>
      <c r="N248" s="194"/>
      <c r="O248" s="69"/>
      <c r="P248" s="69"/>
    </row>
    <row r="249" spans="1:16" s="12" customFormat="1" ht="18.75" hidden="1" customHeight="1">
      <c r="A249" s="35"/>
      <c r="B249" s="35"/>
      <c r="C249" s="5" t="s">
        <v>1122</v>
      </c>
      <c r="D249" s="1459"/>
      <c r="E249" s="1219"/>
      <c r="F249" s="1361"/>
      <c r="G249" s="1432"/>
      <c r="H249" s="813"/>
      <c r="I249" s="53" t="s">
        <v>1121</v>
      </c>
      <c r="J249" s="109"/>
      <c r="K249" s="813"/>
      <c r="L249" s="106"/>
      <c r="M249" s="199"/>
      <c r="N249" s="194"/>
      <c r="O249" s="69"/>
      <c r="P249" s="69"/>
    </row>
    <row r="250" spans="1:16" s="12" customFormat="1" ht="0.75" hidden="1" customHeight="1">
      <c r="A250" s="35"/>
      <c r="B250" s="35"/>
      <c r="C250" s="5" t="s">
        <v>1129</v>
      </c>
      <c r="D250" s="1459"/>
      <c r="E250" s="1219"/>
      <c r="F250" s="1361"/>
      <c r="G250" s="225"/>
      <c r="H250" s="813"/>
      <c r="I250" s="53"/>
      <c r="J250" s="109"/>
      <c r="K250" s="813"/>
      <c r="L250" s="106"/>
      <c r="M250" s="199"/>
      <c r="N250" s="194"/>
      <c r="O250" s="69"/>
      <c r="P250" s="69"/>
    </row>
    <row r="251" spans="1:16" s="12" customFormat="1" ht="18.75" hidden="1" customHeight="1">
      <c r="A251" s="35" t="s">
        <v>249</v>
      </c>
      <c r="B251" s="35" t="s">
        <v>250</v>
      </c>
      <c r="C251" s="5"/>
      <c r="D251" s="1459"/>
      <c r="E251" s="1219"/>
      <c r="F251" s="1361" t="str">
        <f>INDEX(PT_DIFFERENTIATION_VTAR,MATCH(A251,PT_DIFFERENTIATION_VTAR_ID,0))</f>
        <v>Тариф на горячую воду (горячее водоснабжение)</v>
      </c>
      <c r="G251" s="1432" t="str">
        <f>INDEX(PT_DIFFERENTIATION_NTAR,MATCH(B251,PT_DIFFERENTIATION_NTAR_ID,0))</f>
        <v/>
      </c>
      <c r="H251" s="753"/>
      <c r="I251" s="938"/>
      <c r="J251" s="964"/>
      <c r="K251" s="357"/>
      <c r="L251" s="753" t="s">
        <v>305</v>
      </c>
      <c r="M251" s="199"/>
      <c r="N251" s="194"/>
      <c r="O251" s="69"/>
      <c r="P251" s="69"/>
    </row>
    <row r="252" spans="1:16" s="12" customFormat="1" ht="18.75" hidden="1" customHeight="1">
      <c r="A252" s="35"/>
      <c r="B252" s="35"/>
      <c r="C252" s="5" t="s">
        <v>1122</v>
      </c>
      <c r="D252" s="1459"/>
      <c r="E252" s="1219"/>
      <c r="F252" s="1361"/>
      <c r="G252" s="1432"/>
      <c r="H252" s="813"/>
      <c r="I252" s="53" t="s">
        <v>1121</v>
      </c>
      <c r="J252" s="109"/>
      <c r="K252" s="813"/>
      <c r="L252" s="106"/>
      <c r="M252" s="199"/>
      <c r="N252" s="194"/>
      <c r="O252" s="69"/>
      <c r="P252" s="69"/>
    </row>
    <row r="253" spans="1:16" s="12" customFormat="1" ht="0.75" hidden="1" customHeight="1">
      <c r="A253" s="35"/>
      <c r="B253" s="35"/>
      <c r="C253" s="5" t="s">
        <v>1129</v>
      </c>
      <c r="D253" s="1459"/>
      <c r="E253" s="1219"/>
      <c r="F253" s="1361"/>
      <c r="G253" s="225"/>
      <c r="H253" s="813"/>
      <c r="I253" s="53"/>
      <c r="J253" s="109"/>
      <c r="K253" s="813"/>
      <c r="L253" s="106"/>
      <c r="M253" s="199"/>
      <c r="N253" s="194"/>
      <c r="O253" s="69"/>
      <c r="P253" s="69"/>
    </row>
    <row r="254" spans="1:16" s="12" customFormat="1" ht="18.75" hidden="1" customHeight="1">
      <c r="A254" s="35" t="s">
        <v>254</v>
      </c>
      <c r="B254" s="35" t="s">
        <v>255</v>
      </c>
      <c r="C254" s="5"/>
      <c r="D254" s="1459"/>
      <c r="E254" s="1219"/>
      <c r="F254" s="1361" t="str">
        <f>INDEX(PT_DIFFERENTIATION_VTAR,MATCH(A254,PT_DIFFERENTIATION_VTAR_ID,0))</f>
        <v>Тариф на транспортировку горячей воды</v>
      </c>
      <c r="G254" s="1432" t="str">
        <f>INDEX(PT_DIFFERENTIATION_NTAR,MATCH(B254,PT_DIFFERENTIATION_NTAR_ID,0))</f>
        <v/>
      </c>
      <c r="H254" s="753"/>
      <c r="I254" s="938"/>
      <c r="J254" s="964"/>
      <c r="K254" s="357"/>
      <c r="L254" s="753" t="s">
        <v>305</v>
      </c>
      <c r="M254" s="199"/>
      <c r="N254" s="194"/>
      <c r="O254" s="69"/>
      <c r="P254" s="69"/>
    </row>
    <row r="255" spans="1:16" s="12" customFormat="1" ht="18.75" hidden="1" customHeight="1">
      <c r="A255" s="35"/>
      <c r="B255" s="35"/>
      <c r="C255" s="5" t="s">
        <v>1122</v>
      </c>
      <c r="D255" s="1459"/>
      <c r="E255" s="1219"/>
      <c r="F255" s="1361"/>
      <c r="G255" s="1432"/>
      <c r="H255" s="813"/>
      <c r="I255" s="53" t="s">
        <v>1121</v>
      </c>
      <c r="J255" s="109"/>
      <c r="K255" s="813"/>
      <c r="L255" s="106"/>
      <c r="M255" s="199"/>
      <c r="N255" s="194"/>
      <c r="O255" s="69"/>
      <c r="P255" s="69"/>
    </row>
    <row r="256" spans="1:16" s="12" customFormat="1" ht="0.75" hidden="1" customHeight="1">
      <c r="A256" s="35"/>
      <c r="B256" s="35"/>
      <c r="C256" s="5" t="s">
        <v>1129</v>
      </c>
      <c r="D256" s="1459"/>
      <c r="E256" s="1219"/>
      <c r="F256" s="1361"/>
      <c r="G256" s="225"/>
      <c r="H256" s="813"/>
      <c r="I256" s="53"/>
      <c r="J256" s="109"/>
      <c r="K256" s="813"/>
      <c r="L256" s="106"/>
      <c r="M256" s="199"/>
      <c r="N256" s="194"/>
      <c r="O256" s="69"/>
      <c r="P256" s="69"/>
    </row>
    <row r="257" spans="1:16" s="12" customFormat="1" ht="18.75" hidden="1" customHeight="1">
      <c r="A257" s="35" t="s">
        <v>259</v>
      </c>
      <c r="B257" s="35" t="s">
        <v>260</v>
      </c>
      <c r="C257" s="5"/>
      <c r="D257" s="1459"/>
      <c r="E257" s="1219"/>
      <c r="F257" s="1361"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32" t="str">
        <f>INDEX(PT_DIFFERENTIATION_NTAR,MATCH(B257,PT_DIFFERENTIATION_NTAR_ID,0))</f>
        <v/>
      </c>
      <c r="H257" s="753"/>
      <c r="I257" s="938"/>
      <c r="J257" s="964"/>
      <c r="K257" s="357"/>
      <c r="L257" s="753" t="s">
        <v>305</v>
      </c>
      <c r="M257" s="199"/>
      <c r="N257" s="194"/>
      <c r="O257" s="69"/>
      <c r="P257" s="69"/>
    </row>
    <row r="258" spans="1:16" s="12" customFormat="1" ht="18.75" hidden="1" customHeight="1">
      <c r="A258" s="35"/>
      <c r="B258" s="35"/>
      <c r="C258" s="5" t="s">
        <v>1122</v>
      </c>
      <c r="D258" s="1459"/>
      <c r="E258" s="1219"/>
      <c r="F258" s="1361"/>
      <c r="G258" s="1432"/>
      <c r="H258" s="813"/>
      <c r="I258" s="53" t="s">
        <v>1121</v>
      </c>
      <c r="J258" s="109"/>
      <c r="K258" s="813"/>
      <c r="L258" s="106"/>
      <c r="M258" s="199"/>
      <c r="N258" s="194"/>
      <c r="O258" s="69"/>
      <c r="P258" s="69"/>
    </row>
    <row r="259" spans="1:16" s="12" customFormat="1" ht="0.75" hidden="1" customHeight="1">
      <c r="A259" s="35"/>
      <c r="B259" s="35"/>
      <c r="C259" s="5" t="s">
        <v>1129</v>
      </c>
      <c r="D259" s="1459"/>
      <c r="E259" s="1219"/>
      <c r="F259" s="1361"/>
      <c r="G259" s="225"/>
      <c r="H259" s="813"/>
      <c r="I259" s="53"/>
      <c r="J259" s="109"/>
      <c r="K259" s="813"/>
      <c r="L259" s="106"/>
      <c r="M259" s="199"/>
      <c r="N259" s="194"/>
      <c r="O259" s="69"/>
      <c r="P259" s="69"/>
    </row>
    <row r="260" spans="1:16" s="12" customFormat="1" ht="18.75" hidden="1" customHeight="1">
      <c r="A260" s="35" t="s">
        <v>264</v>
      </c>
      <c r="B260" s="35" t="s">
        <v>265</v>
      </c>
      <c r="C260" s="5"/>
      <c r="D260" s="1459"/>
      <c r="E260" s="1219"/>
      <c r="F260" s="1361" t="str">
        <f>INDEX(PT_DIFFERENTIATION_VTAR,MATCH(A260,PT_DIFFERENTIATION_VTAR_ID,0))</f>
        <v>Тариф на водоотведение</v>
      </c>
      <c r="G260" s="1432" t="str">
        <f>INDEX(PT_DIFFERENTIATION_NTAR,MATCH(B260,PT_DIFFERENTIATION_NTAR_ID,0))</f>
        <v/>
      </c>
      <c r="H260" s="753"/>
      <c r="I260" s="938"/>
      <c r="J260" s="964"/>
      <c r="K260" s="357"/>
      <c r="L260" s="753" t="s">
        <v>305</v>
      </c>
      <c r="M260" s="199"/>
      <c r="N260" s="194"/>
      <c r="O260" s="69"/>
      <c r="P260" s="69"/>
    </row>
    <row r="261" spans="1:16" s="12" customFormat="1" ht="18.75" hidden="1" customHeight="1">
      <c r="A261" s="35"/>
      <c r="B261" s="35"/>
      <c r="C261" s="5" t="s">
        <v>1122</v>
      </c>
      <c r="D261" s="1459"/>
      <c r="E261" s="1219"/>
      <c r="F261" s="1361"/>
      <c r="G261" s="1432"/>
      <c r="H261" s="813"/>
      <c r="I261" s="53" t="s">
        <v>1121</v>
      </c>
      <c r="J261" s="109"/>
      <c r="K261" s="813"/>
      <c r="L261" s="106"/>
      <c r="M261" s="199"/>
      <c r="N261" s="194"/>
      <c r="O261" s="69"/>
      <c r="P261" s="69"/>
    </row>
    <row r="262" spans="1:16" s="12" customFormat="1" ht="0.75" hidden="1" customHeight="1">
      <c r="A262" s="35"/>
      <c r="B262" s="35"/>
      <c r="C262" s="5" t="s">
        <v>1129</v>
      </c>
      <c r="D262" s="1459"/>
      <c r="E262" s="1219"/>
      <c r="F262" s="1361"/>
      <c r="G262" s="225"/>
      <c r="H262" s="813"/>
      <c r="I262" s="53"/>
      <c r="J262" s="109"/>
      <c r="K262" s="813"/>
      <c r="L262" s="106"/>
      <c r="M262" s="199"/>
      <c r="N262" s="194"/>
      <c r="O262" s="69"/>
      <c r="P262" s="69"/>
    </row>
    <row r="263" spans="1:16" s="12" customFormat="1" ht="18.75" hidden="1" customHeight="1">
      <c r="A263" s="35" t="s">
        <v>269</v>
      </c>
      <c r="B263" s="35" t="s">
        <v>270</v>
      </c>
      <c r="C263" s="5"/>
      <c r="D263" s="1459"/>
      <c r="E263" s="1219"/>
      <c r="F263" s="1361" t="str">
        <f>INDEX(PT_DIFFERENTIATION_VTAR,MATCH(A263,PT_DIFFERENTIATION_VTAR_ID,0))</f>
        <v>Тариф на транспортировку сточных вод</v>
      </c>
      <c r="G263" s="1432" t="str">
        <f>INDEX(PT_DIFFERENTIATION_NTAR,MATCH(B263,PT_DIFFERENTIATION_NTAR_ID,0))</f>
        <v/>
      </c>
      <c r="H263" s="753"/>
      <c r="I263" s="938"/>
      <c r="J263" s="964"/>
      <c r="K263" s="357"/>
      <c r="L263" s="753" t="s">
        <v>305</v>
      </c>
      <c r="M263" s="199"/>
      <c r="N263" s="194"/>
      <c r="O263" s="69"/>
      <c r="P263" s="69"/>
    </row>
    <row r="264" spans="1:16" s="12" customFormat="1" ht="18.75" hidden="1" customHeight="1">
      <c r="A264" s="35"/>
      <c r="B264" s="35"/>
      <c r="C264" s="5" t="s">
        <v>1122</v>
      </c>
      <c r="D264" s="1459"/>
      <c r="E264" s="1219"/>
      <c r="F264" s="1361"/>
      <c r="G264" s="1432"/>
      <c r="H264" s="813"/>
      <c r="I264" s="53" t="s">
        <v>1121</v>
      </c>
      <c r="J264" s="109"/>
      <c r="K264" s="813"/>
      <c r="L264" s="106"/>
      <c r="M264" s="199"/>
      <c r="N264" s="194"/>
      <c r="O264" s="69"/>
      <c r="P264" s="69"/>
    </row>
    <row r="265" spans="1:16" s="12" customFormat="1" ht="0.75" hidden="1" customHeight="1">
      <c r="A265" s="35"/>
      <c r="B265" s="35"/>
      <c r="C265" s="5" t="s">
        <v>1129</v>
      </c>
      <c r="D265" s="1459"/>
      <c r="E265" s="1219"/>
      <c r="F265" s="1361"/>
      <c r="G265" s="225"/>
      <c r="H265" s="813"/>
      <c r="I265" s="53"/>
      <c r="J265" s="109"/>
      <c r="K265" s="813"/>
      <c r="L265" s="106"/>
      <c r="M265" s="199"/>
      <c r="N265" s="194"/>
      <c r="O265" s="69"/>
      <c r="P265" s="69"/>
    </row>
    <row r="266" spans="1:16" s="12" customFormat="1" ht="18.75" hidden="1" customHeight="1">
      <c r="A266" s="35" t="s">
        <v>274</v>
      </c>
      <c r="B266" s="35" t="s">
        <v>275</v>
      </c>
      <c r="C266" s="5"/>
      <c r="D266" s="1459"/>
      <c r="E266" s="1219"/>
      <c r="F266" s="1361" t="str">
        <f>INDEX(PT_DIFFERENTIATION_VTAR,MATCH(A266,PT_DIFFERENTIATION_VTAR_ID,0))</f>
        <v>Тариф на подключение (технологическое присоединение) к централизованной системе водоотведения</v>
      </c>
      <c r="G266" s="1432" t="str">
        <f>INDEX(PT_DIFFERENTIATION_NTAR,MATCH(B266,PT_DIFFERENTIATION_NTAR_ID,0))</f>
        <v/>
      </c>
      <c r="H266" s="753"/>
      <c r="I266" s="938"/>
      <c r="J266" s="964"/>
      <c r="K266" s="357"/>
      <c r="L266" s="753" t="s">
        <v>305</v>
      </c>
      <c r="M266" s="199"/>
      <c r="N266" s="194"/>
      <c r="O266" s="69"/>
      <c r="P266" s="69"/>
    </row>
    <row r="267" spans="1:16" s="12" customFormat="1" ht="18.75" hidden="1" customHeight="1">
      <c r="A267" s="35"/>
      <c r="B267" s="35"/>
      <c r="C267" s="5" t="s">
        <v>1122</v>
      </c>
      <c r="D267" s="1459"/>
      <c r="E267" s="1219"/>
      <c r="F267" s="1361"/>
      <c r="G267" s="1432"/>
      <c r="H267" s="813"/>
      <c r="I267" s="53" t="s">
        <v>1121</v>
      </c>
      <c r="J267" s="109"/>
      <c r="K267" s="813"/>
      <c r="L267" s="106"/>
      <c r="M267" s="199"/>
      <c r="N267" s="194"/>
      <c r="O267" s="69"/>
      <c r="P267" s="69"/>
    </row>
    <row r="268" spans="1:16" s="12" customFormat="1" ht="0.75" customHeight="1">
      <c r="A268" s="35"/>
      <c r="B268" s="35"/>
      <c r="C268" s="5" t="s">
        <v>1129</v>
      </c>
      <c r="D268" s="1459"/>
      <c r="E268" s="1219"/>
      <c r="F268" s="1361"/>
      <c r="G268" s="225"/>
      <c r="H268" s="813"/>
      <c r="I268" s="53"/>
      <c r="J268" s="109"/>
      <c r="K268" s="813"/>
      <c r="L268" s="106"/>
      <c r="M268" s="199"/>
      <c r="N268" s="194"/>
      <c r="O268" s="69"/>
      <c r="P268" s="69"/>
    </row>
    <row r="269" spans="1:16" ht="25.5" customHeight="1">
      <c r="A269" s="35"/>
      <c r="B269" s="35"/>
      <c r="D269" s="29"/>
      <c r="E269" s="64" t="s">
        <v>88</v>
      </c>
      <c r="F269" s="145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1458"/>
      <c r="H269" s="1458"/>
      <c r="I269" s="1458"/>
      <c r="J269" s="1458"/>
      <c r="K269" s="1458"/>
      <c r="L269" s="1458"/>
      <c r="M269" s="112"/>
      <c r="N269" s="194"/>
    </row>
    <row r="270" spans="1:16" s="12" customFormat="1" ht="60.75" hidden="1" customHeight="1">
      <c r="A270" s="35" t="s">
        <v>156</v>
      </c>
      <c r="B270" s="35" t="s">
        <v>157</v>
      </c>
      <c r="C270" s="5"/>
      <c r="D270" s="1459"/>
      <c r="E270" s="1219"/>
      <c r="F270" s="136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32" t="str">
        <f>INDEX(PT_DIFFERENTIATION_NTAR,MATCH(B270,PT_DIFFERENTIATION_NTAR_ID,0))</f>
        <v/>
      </c>
      <c r="H270" s="753"/>
      <c r="I270" s="938"/>
      <c r="J270" s="964"/>
      <c r="K270" s="357"/>
      <c r="L270" s="753" t="s">
        <v>305</v>
      </c>
      <c r="M270" s="1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4"/>
      <c r="O270" s="69"/>
      <c r="P270" s="69"/>
    </row>
    <row r="271" spans="1:16" s="12" customFormat="1" ht="18.75" hidden="1" customHeight="1">
      <c r="A271" s="35"/>
      <c r="B271" s="35"/>
      <c r="C271" s="5" t="s">
        <v>1122</v>
      </c>
      <c r="D271" s="1459"/>
      <c r="E271" s="1219"/>
      <c r="F271" s="1361"/>
      <c r="G271" s="1432"/>
      <c r="H271" s="813"/>
      <c r="I271" s="53" t="s">
        <v>1121</v>
      </c>
      <c r="J271" s="109"/>
      <c r="K271" s="813"/>
      <c r="L271" s="106"/>
      <c r="M271" s="1188"/>
      <c r="N271" s="194"/>
      <c r="O271" s="69"/>
      <c r="P271" s="69"/>
    </row>
    <row r="272" spans="1:16" s="12" customFormat="1" ht="0.75" hidden="1" customHeight="1">
      <c r="A272" s="35"/>
      <c r="B272" s="35"/>
      <c r="C272" s="5" t="s">
        <v>1129</v>
      </c>
      <c r="D272" s="1459"/>
      <c r="E272" s="1219"/>
      <c r="F272" s="1361"/>
      <c r="G272" s="225"/>
      <c r="H272" s="813"/>
      <c r="I272" s="53"/>
      <c r="J272" s="109"/>
      <c r="K272" s="813"/>
      <c r="L272" s="106"/>
      <c r="M272" s="1188"/>
      <c r="N272" s="194"/>
      <c r="O272" s="69"/>
      <c r="P272" s="69"/>
    </row>
    <row r="273" spans="1:16" s="12" customFormat="1" ht="45" hidden="1" customHeight="1">
      <c r="A273" s="35" t="s">
        <v>161</v>
      </c>
      <c r="B273" s="35" t="s">
        <v>162</v>
      </c>
      <c r="C273" s="5"/>
      <c r="D273" s="1459"/>
      <c r="E273" s="1219"/>
      <c r="F273" s="1361" t="str">
        <f>INDEX(PT_DIFFERENTIATION_VTAR,MATCH(A273,PT_DIFFERENTIATION_VTAR_ID,0))</f>
        <v/>
      </c>
      <c r="G273" s="1432" t="str">
        <f>INDEX(PT_DIFFERENTIATION_NTAR,MATCH(B273,PT_DIFFERENTIATION_NTAR_ID,0))</f>
        <v/>
      </c>
      <c r="H273" s="753"/>
      <c r="I273" s="938"/>
      <c r="J273" s="964"/>
      <c r="K273" s="357"/>
      <c r="L273" s="753" t="s">
        <v>305</v>
      </c>
      <c r="M273" s="1189"/>
      <c r="N273" s="194"/>
      <c r="O273" s="69"/>
      <c r="P273" s="69"/>
    </row>
    <row r="274" spans="1:16" s="12" customFormat="1" ht="18.75" hidden="1" customHeight="1">
      <c r="A274" s="35"/>
      <c r="B274" s="35"/>
      <c r="C274" s="5" t="s">
        <v>1122</v>
      </c>
      <c r="D274" s="1459"/>
      <c r="E274" s="1219"/>
      <c r="F274" s="1361"/>
      <c r="G274" s="1432"/>
      <c r="H274" s="813"/>
      <c r="I274" s="53" t="s">
        <v>1121</v>
      </c>
      <c r="J274" s="109"/>
      <c r="K274" s="813"/>
      <c r="L274" s="106"/>
      <c r="M274" s="997"/>
      <c r="N274" s="194"/>
      <c r="O274" s="69"/>
      <c r="P274" s="69"/>
    </row>
    <row r="275" spans="1:16" s="12" customFormat="1" ht="0.75" hidden="1" customHeight="1">
      <c r="A275" s="35"/>
      <c r="B275" s="35"/>
      <c r="C275" s="5" t="s">
        <v>1129</v>
      </c>
      <c r="D275" s="1459"/>
      <c r="E275" s="1219"/>
      <c r="F275" s="1361"/>
      <c r="G275" s="225"/>
      <c r="H275" s="813"/>
      <c r="I275" s="53"/>
      <c r="J275" s="109"/>
      <c r="K275" s="813"/>
      <c r="L275" s="106"/>
      <c r="M275" s="199"/>
      <c r="N275" s="194"/>
      <c r="O275" s="69"/>
      <c r="P275" s="69"/>
    </row>
    <row r="276" spans="1:16" s="12" customFormat="1" ht="45" hidden="1" customHeight="1">
      <c r="A276" s="35" t="s">
        <v>168</v>
      </c>
      <c r="B276" s="35" t="s">
        <v>169</v>
      </c>
      <c r="C276" s="5"/>
      <c r="D276" s="1459"/>
      <c r="E276" s="1219"/>
      <c r="F276" s="136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32" t="str">
        <f>INDEX(PT_DIFFERENTIATION_NTAR,MATCH(B276,PT_DIFFERENTIATION_NTAR_ID,0))</f>
        <v/>
      </c>
      <c r="H276" s="753"/>
      <c r="I276" s="938"/>
      <c r="J276" s="964"/>
      <c r="K276" s="357"/>
      <c r="L276" s="753" t="s">
        <v>305</v>
      </c>
      <c r="M276" s="199"/>
      <c r="N276" s="194"/>
      <c r="O276" s="69"/>
      <c r="P276" s="69"/>
    </row>
    <row r="277" spans="1:16" s="12" customFormat="1" ht="18.75" hidden="1" customHeight="1">
      <c r="A277" s="35"/>
      <c r="B277" s="35"/>
      <c r="C277" s="5" t="s">
        <v>1122</v>
      </c>
      <c r="D277" s="1459"/>
      <c r="E277" s="1219"/>
      <c r="F277" s="1361"/>
      <c r="G277" s="1432"/>
      <c r="H277" s="813"/>
      <c r="I277" s="53" t="s">
        <v>1121</v>
      </c>
      <c r="J277" s="109"/>
      <c r="K277" s="813"/>
      <c r="L277" s="106"/>
      <c r="M277" s="199"/>
      <c r="N277" s="194"/>
      <c r="O277" s="69"/>
      <c r="P277" s="69"/>
    </row>
    <row r="278" spans="1:16" s="12" customFormat="1" ht="0.75" hidden="1" customHeight="1">
      <c r="A278" s="35"/>
      <c r="B278" s="35"/>
      <c r="C278" s="5" t="s">
        <v>1129</v>
      </c>
      <c r="D278" s="1459"/>
      <c r="E278" s="1219"/>
      <c r="F278" s="1361"/>
      <c r="G278" s="225"/>
      <c r="H278" s="813"/>
      <c r="I278" s="53"/>
      <c r="J278" s="109"/>
      <c r="K278" s="813"/>
      <c r="L278" s="106"/>
      <c r="M278" s="199"/>
      <c r="N278" s="194"/>
      <c r="O278" s="69"/>
      <c r="P278" s="69"/>
    </row>
    <row r="279" spans="1:16" s="12" customFormat="1" ht="45" hidden="1" customHeight="1">
      <c r="A279" s="35" t="s">
        <v>174</v>
      </c>
      <c r="B279" s="35" t="s">
        <v>175</v>
      </c>
      <c r="C279" s="5"/>
      <c r="D279" s="1459"/>
      <c r="E279" s="1219"/>
      <c r="F279" s="136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32" t="str">
        <f>INDEX(PT_DIFFERENTIATION_NTAR,MATCH(B279,PT_DIFFERENTIATION_NTAR_ID,0))</f>
        <v/>
      </c>
      <c r="H279" s="753"/>
      <c r="I279" s="938"/>
      <c r="J279" s="964"/>
      <c r="K279" s="357"/>
      <c r="L279" s="753" t="s">
        <v>305</v>
      </c>
      <c r="M279" s="199"/>
      <c r="N279" s="194"/>
      <c r="O279" s="69"/>
      <c r="P279" s="69"/>
    </row>
    <row r="280" spans="1:16" s="12" customFormat="1" ht="18.75" hidden="1" customHeight="1">
      <c r="A280" s="35"/>
      <c r="B280" s="35"/>
      <c r="C280" s="5" t="s">
        <v>1122</v>
      </c>
      <c r="D280" s="1459"/>
      <c r="E280" s="1219"/>
      <c r="F280" s="1361"/>
      <c r="G280" s="1432"/>
      <c r="H280" s="813"/>
      <c r="I280" s="53" t="s">
        <v>1121</v>
      </c>
      <c r="J280" s="109"/>
      <c r="K280" s="813"/>
      <c r="L280" s="106"/>
      <c r="M280" s="199"/>
      <c r="N280" s="194"/>
      <c r="O280" s="69"/>
      <c r="P280" s="69"/>
    </row>
    <row r="281" spans="1:16" s="12" customFormat="1" ht="0.75" hidden="1" customHeight="1">
      <c r="A281" s="35"/>
      <c r="B281" s="35"/>
      <c r="C281" s="5" t="s">
        <v>1129</v>
      </c>
      <c r="D281" s="1459"/>
      <c r="E281" s="1219"/>
      <c r="F281" s="1361"/>
      <c r="G281" s="225"/>
      <c r="H281" s="813"/>
      <c r="I281" s="53"/>
      <c r="J281" s="109"/>
      <c r="K281" s="813"/>
      <c r="L281" s="106"/>
      <c r="M281" s="199"/>
      <c r="N281" s="194"/>
      <c r="O281" s="69"/>
      <c r="P281" s="69"/>
    </row>
    <row r="282" spans="1:16" s="12" customFormat="1" ht="18.75" hidden="1" customHeight="1">
      <c r="A282" s="35" t="s">
        <v>180</v>
      </c>
      <c r="B282" s="35" t="s">
        <v>181</v>
      </c>
      <c r="C282" s="5"/>
      <c r="D282" s="1459"/>
      <c r="E282" s="1219"/>
      <c r="F282" s="1361" t="str">
        <f>INDEX(PT_DIFFERENTIATION_VTAR,MATCH(A282,PT_DIFFERENTIATION_VTAR_ID,0))</f>
        <v>Тарифы на услуги по передаче тепловой энергии</v>
      </c>
      <c r="G282" s="1432" t="str">
        <f>INDEX(PT_DIFFERENTIATION_NTAR,MATCH(B282,PT_DIFFERENTIATION_NTAR_ID,0))</f>
        <v/>
      </c>
      <c r="H282" s="753"/>
      <c r="I282" s="938"/>
      <c r="J282" s="964"/>
      <c r="K282" s="357"/>
      <c r="L282" s="753" t="s">
        <v>305</v>
      </c>
      <c r="M282" s="199"/>
      <c r="N282" s="194"/>
      <c r="O282" s="69"/>
      <c r="P282" s="69"/>
    </row>
    <row r="283" spans="1:16" s="12" customFormat="1" ht="18.75" hidden="1" customHeight="1">
      <c r="A283" s="35"/>
      <c r="B283" s="35"/>
      <c r="C283" s="5" t="s">
        <v>1122</v>
      </c>
      <c r="D283" s="1459"/>
      <c r="E283" s="1219"/>
      <c r="F283" s="1361"/>
      <c r="G283" s="1432"/>
      <c r="H283" s="813"/>
      <c r="I283" s="53" t="s">
        <v>1121</v>
      </c>
      <c r="J283" s="109"/>
      <c r="K283" s="813"/>
      <c r="L283" s="106"/>
      <c r="M283" s="199"/>
      <c r="N283" s="194"/>
      <c r="O283" s="69"/>
      <c r="P283" s="69"/>
    </row>
    <row r="284" spans="1:16" s="12" customFormat="1" ht="0.75" hidden="1" customHeight="1">
      <c r="A284" s="35"/>
      <c r="B284" s="35"/>
      <c r="C284" s="5" t="s">
        <v>1129</v>
      </c>
      <c r="D284" s="1459"/>
      <c r="E284" s="1219"/>
      <c r="F284" s="1361"/>
      <c r="G284" s="225"/>
      <c r="H284" s="813"/>
      <c r="I284" s="53"/>
      <c r="J284" s="109"/>
      <c r="K284" s="813"/>
      <c r="L284" s="106"/>
      <c r="M284" s="199"/>
      <c r="N284" s="194"/>
      <c r="O284" s="69"/>
      <c r="P284" s="69"/>
    </row>
    <row r="285" spans="1:16" s="12" customFormat="1" ht="18.75" hidden="1" customHeight="1">
      <c r="A285" s="35" t="s">
        <v>186</v>
      </c>
      <c r="B285" s="35" t="s">
        <v>187</v>
      </c>
      <c r="C285" s="5"/>
      <c r="D285" s="1459"/>
      <c r="E285" s="1219"/>
      <c r="F285" s="1361" t="str">
        <f>INDEX(PT_DIFFERENTIATION_VTAR,MATCH(A285,PT_DIFFERENTIATION_VTAR_ID,0))</f>
        <v>Тарифы на услуги по передаче теплоносителя</v>
      </c>
      <c r="G285" s="1432" t="str">
        <f>INDEX(PT_DIFFERENTIATION_NTAR,MATCH(B285,PT_DIFFERENTIATION_NTAR_ID,0))</f>
        <v/>
      </c>
      <c r="H285" s="753"/>
      <c r="I285" s="938"/>
      <c r="J285" s="964"/>
      <c r="K285" s="357"/>
      <c r="L285" s="753" t="s">
        <v>305</v>
      </c>
      <c r="M285" s="199"/>
      <c r="N285" s="194"/>
      <c r="O285" s="69"/>
      <c r="P285" s="69"/>
    </row>
    <row r="286" spans="1:16" s="12" customFormat="1" ht="18.75" hidden="1" customHeight="1">
      <c r="A286" s="35"/>
      <c r="B286" s="35"/>
      <c r="C286" s="5" t="s">
        <v>1122</v>
      </c>
      <c r="D286" s="1459"/>
      <c r="E286" s="1219"/>
      <c r="F286" s="1361"/>
      <c r="G286" s="1432"/>
      <c r="H286" s="813"/>
      <c r="I286" s="53" t="s">
        <v>1121</v>
      </c>
      <c r="J286" s="109"/>
      <c r="K286" s="813"/>
      <c r="L286" s="106"/>
      <c r="M286" s="199"/>
      <c r="N286" s="194"/>
      <c r="O286" s="69"/>
      <c r="P286" s="69"/>
    </row>
    <row r="287" spans="1:16" s="12" customFormat="1" ht="0.75" hidden="1" customHeight="1">
      <c r="A287" s="35"/>
      <c r="B287" s="35"/>
      <c r="C287" s="5" t="s">
        <v>1129</v>
      </c>
      <c r="D287" s="1459"/>
      <c r="E287" s="1219"/>
      <c r="F287" s="1361"/>
      <c r="G287" s="225"/>
      <c r="H287" s="813"/>
      <c r="I287" s="53"/>
      <c r="J287" s="109"/>
      <c r="K287" s="813"/>
      <c r="L287" s="106"/>
      <c r="M287" s="199"/>
      <c r="N287" s="194"/>
      <c r="O287" s="69"/>
      <c r="P287" s="69"/>
    </row>
    <row r="288" spans="1:16" s="12" customFormat="1" ht="18.75" hidden="1" customHeight="1">
      <c r="A288" s="35" t="s">
        <v>192</v>
      </c>
      <c r="B288" s="35" t="s">
        <v>193</v>
      </c>
      <c r="C288" s="5"/>
      <c r="D288" s="1459"/>
      <c r="E288" s="1219"/>
      <c r="F288" s="136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32" t="str">
        <f>INDEX(PT_DIFFERENTIATION_NTAR,MATCH(B288,PT_DIFFERENTIATION_NTAR_ID,0))</f>
        <v/>
      </c>
      <c r="H288" s="753"/>
      <c r="I288" s="938"/>
      <c r="J288" s="964"/>
      <c r="K288" s="357"/>
      <c r="L288" s="753" t="s">
        <v>305</v>
      </c>
      <c r="M288" s="199"/>
      <c r="N288" s="194"/>
      <c r="O288" s="69"/>
      <c r="P288" s="69"/>
    </row>
    <row r="289" spans="1:16" s="12" customFormat="1" ht="18.75" hidden="1" customHeight="1">
      <c r="A289" s="35"/>
      <c r="B289" s="35"/>
      <c r="C289" s="5" t="s">
        <v>1122</v>
      </c>
      <c r="D289" s="1459"/>
      <c r="E289" s="1219"/>
      <c r="F289" s="1361"/>
      <c r="G289" s="1432"/>
      <c r="H289" s="813"/>
      <c r="I289" s="53" t="s">
        <v>1121</v>
      </c>
      <c r="J289" s="109"/>
      <c r="K289" s="813"/>
      <c r="L289" s="106"/>
      <c r="M289" s="199"/>
      <c r="N289" s="194"/>
      <c r="O289" s="69"/>
      <c r="P289" s="69"/>
    </row>
    <row r="290" spans="1:16" s="12" customFormat="1" ht="0.75" hidden="1" customHeight="1">
      <c r="A290" s="35"/>
      <c r="B290" s="35"/>
      <c r="C290" s="5" t="s">
        <v>1129</v>
      </c>
      <c r="D290" s="1459"/>
      <c r="E290" s="1219"/>
      <c r="F290" s="1361"/>
      <c r="G290" s="225"/>
      <c r="H290" s="813"/>
      <c r="I290" s="53"/>
      <c r="J290" s="109"/>
      <c r="K290" s="813"/>
      <c r="L290" s="106"/>
      <c r="M290" s="199"/>
      <c r="N290" s="194"/>
      <c r="O290" s="69"/>
      <c r="P290" s="69"/>
    </row>
    <row r="291" spans="1:16" s="12" customFormat="1" ht="18.75" hidden="1" customHeight="1">
      <c r="A291" s="35" t="s">
        <v>198</v>
      </c>
      <c r="B291" s="35" t="s">
        <v>199</v>
      </c>
      <c r="C291" s="5"/>
      <c r="D291" s="1459"/>
      <c r="E291" s="1219"/>
      <c r="F291" s="1361" t="str">
        <f>INDEX(PT_DIFFERENTIATION_VTAR,MATCH(A291,PT_DIFFERENTIATION_VTAR_ID,0))</f>
        <v>Плата за подключение (технологическое присоединение) к системе теплоснабжения</v>
      </c>
      <c r="G291" s="1432" t="str">
        <f>INDEX(PT_DIFFERENTIATION_NTAR,MATCH(B291,PT_DIFFERENTIATION_NTAR_ID,0))</f>
        <v/>
      </c>
      <c r="H291" s="753"/>
      <c r="I291" s="938"/>
      <c r="J291" s="964"/>
      <c r="K291" s="357"/>
      <c r="L291" s="753" t="s">
        <v>305</v>
      </c>
      <c r="M291" s="199"/>
      <c r="N291" s="194"/>
      <c r="O291" s="69"/>
      <c r="P291" s="69"/>
    </row>
    <row r="292" spans="1:16" s="12" customFormat="1" ht="18.75" hidden="1" customHeight="1">
      <c r="A292" s="35"/>
      <c r="B292" s="35"/>
      <c r="C292" s="5" t="s">
        <v>1122</v>
      </c>
      <c r="D292" s="1459"/>
      <c r="E292" s="1219"/>
      <c r="F292" s="1361"/>
      <c r="G292" s="1432"/>
      <c r="H292" s="813"/>
      <c r="I292" s="53" t="s">
        <v>1121</v>
      </c>
      <c r="J292" s="109"/>
      <c r="K292" s="813"/>
      <c r="L292" s="106"/>
      <c r="M292" s="199"/>
      <c r="N292" s="194"/>
      <c r="O292" s="69"/>
      <c r="P292" s="69"/>
    </row>
    <row r="293" spans="1:16" s="12" customFormat="1" ht="0.75" hidden="1" customHeight="1">
      <c r="A293" s="35"/>
      <c r="B293" s="35"/>
      <c r="C293" s="5" t="s">
        <v>1129</v>
      </c>
      <c r="D293" s="1459"/>
      <c r="E293" s="1219"/>
      <c r="F293" s="1361"/>
      <c r="G293" s="225"/>
      <c r="H293" s="813"/>
      <c r="I293" s="53"/>
      <c r="J293" s="109"/>
      <c r="K293" s="813"/>
      <c r="L293" s="106"/>
      <c r="M293" s="199"/>
      <c r="N293" s="194"/>
      <c r="O293" s="69"/>
      <c r="P293" s="69"/>
    </row>
    <row r="294" spans="1:16" s="12" customFormat="1" ht="18.75" hidden="1" customHeight="1">
      <c r="A294" s="35" t="s">
        <v>204</v>
      </c>
      <c r="B294" s="35" t="s">
        <v>205</v>
      </c>
      <c r="C294" s="5"/>
      <c r="D294" s="1459"/>
      <c r="E294" s="1219"/>
      <c r="F294" s="1361" t="str">
        <f>INDEX(PT_DIFFERENTIATION_VTAR,MATCH(A294,PT_DIFFERENTIATION_VTAR_ID,0))</f>
        <v>Плата за подключение (технологическое присоединение) к системе теплоснабжения (индивидуальная)</v>
      </c>
      <c r="G294" s="1432" t="str">
        <f>INDEX(PT_DIFFERENTIATION_NTAR,MATCH(B294,PT_DIFFERENTIATION_NTAR_ID,0))</f>
        <v/>
      </c>
      <c r="H294" s="753"/>
      <c r="I294" s="938"/>
      <c r="J294" s="964"/>
      <c r="K294" s="357"/>
      <c r="L294" s="753" t="s">
        <v>305</v>
      </c>
      <c r="M294" s="199"/>
      <c r="N294" s="194"/>
      <c r="O294" s="69"/>
      <c r="P294" s="69"/>
    </row>
    <row r="295" spans="1:16" s="12" customFormat="1" ht="18.75" hidden="1" customHeight="1">
      <c r="A295" s="35"/>
      <c r="B295" s="35"/>
      <c r="C295" s="5" t="s">
        <v>1122</v>
      </c>
      <c r="D295" s="1459"/>
      <c r="E295" s="1219"/>
      <c r="F295" s="1361"/>
      <c r="G295" s="1432"/>
      <c r="H295" s="813"/>
      <c r="I295" s="53" t="s">
        <v>1121</v>
      </c>
      <c r="J295" s="109"/>
      <c r="K295" s="813"/>
      <c r="L295" s="106"/>
      <c r="M295" s="199"/>
      <c r="N295" s="194"/>
      <c r="O295" s="69"/>
      <c r="P295" s="69"/>
    </row>
    <row r="296" spans="1:16" s="12" customFormat="1" ht="0.75" hidden="1" customHeight="1">
      <c r="A296" s="35"/>
      <c r="B296" s="35"/>
      <c r="C296" s="5" t="s">
        <v>1129</v>
      </c>
      <c r="D296" s="1459"/>
      <c r="E296" s="1219"/>
      <c r="F296" s="1361"/>
      <c r="G296" s="225"/>
      <c r="H296" s="813"/>
      <c r="I296" s="53"/>
      <c r="J296" s="109"/>
      <c r="K296" s="813"/>
      <c r="L296" s="106"/>
      <c r="M296" s="199"/>
      <c r="N296" s="194"/>
      <c r="O296" s="69"/>
      <c r="P296" s="69"/>
    </row>
    <row r="297" spans="1:16" s="12" customFormat="1" ht="18.75" hidden="1" customHeight="1">
      <c r="A297" s="35" t="s">
        <v>224</v>
      </c>
      <c r="B297" s="35" t="s">
        <v>225</v>
      </c>
      <c r="C297" s="5"/>
      <c r="D297" s="1459"/>
      <c r="E297" s="1219"/>
      <c r="F297" s="1361" t="str">
        <f>INDEX(PT_DIFFERENTIATION_VTAR,MATCH(A297,PT_DIFFERENTIATION_VTAR_ID,0))</f>
        <v>Тариф на питьевую воду (питьевое водоснабжение)</v>
      </c>
      <c r="G297" s="1432" t="str">
        <f>INDEX(PT_DIFFERENTIATION_NTAR,MATCH(B297,PT_DIFFERENTIATION_NTAR_ID,0))</f>
        <v/>
      </c>
      <c r="H297" s="753"/>
      <c r="I297" s="938"/>
      <c r="J297" s="964"/>
      <c r="K297" s="357"/>
      <c r="L297" s="753" t="s">
        <v>305</v>
      </c>
      <c r="M297" s="199"/>
      <c r="N297" s="194"/>
      <c r="O297" s="69"/>
      <c r="P297" s="69"/>
    </row>
    <row r="298" spans="1:16" s="12" customFormat="1" ht="18.75" hidden="1" customHeight="1">
      <c r="A298" s="35"/>
      <c r="B298" s="35"/>
      <c r="C298" s="5" t="s">
        <v>1122</v>
      </c>
      <c r="D298" s="1459"/>
      <c r="E298" s="1219"/>
      <c r="F298" s="1361"/>
      <c r="G298" s="1432"/>
      <c r="H298" s="813"/>
      <c r="I298" s="53" t="s">
        <v>1121</v>
      </c>
      <c r="J298" s="109"/>
      <c r="K298" s="813"/>
      <c r="L298" s="106"/>
      <c r="M298" s="199"/>
      <c r="N298" s="194"/>
      <c r="O298" s="69"/>
      <c r="P298" s="69"/>
    </row>
    <row r="299" spans="1:16" s="12" customFormat="1" ht="0.75" hidden="1" customHeight="1">
      <c r="A299" s="35"/>
      <c r="B299" s="35"/>
      <c r="C299" s="5" t="s">
        <v>1129</v>
      </c>
      <c r="D299" s="1459"/>
      <c r="E299" s="1219"/>
      <c r="F299" s="1361"/>
      <c r="G299" s="225"/>
      <c r="H299" s="813"/>
      <c r="I299" s="53"/>
      <c r="J299" s="109"/>
      <c r="K299" s="813"/>
      <c r="L299" s="106"/>
      <c r="M299" s="199"/>
      <c r="N299" s="194"/>
      <c r="O299" s="69"/>
      <c r="P299" s="69"/>
    </row>
    <row r="300" spans="1:16" s="12" customFormat="1" ht="18.75" hidden="1" customHeight="1">
      <c r="A300" s="35" t="s">
        <v>229</v>
      </c>
      <c r="B300" s="35" t="s">
        <v>230</v>
      </c>
      <c r="C300" s="5"/>
      <c r="D300" s="1459"/>
      <c r="E300" s="1219"/>
      <c r="F300" s="1361" t="str">
        <f>INDEX(PT_DIFFERENTIATION_VTAR,MATCH(A300,PT_DIFFERENTIATION_VTAR_ID,0))</f>
        <v>Тариф на техническую воду</v>
      </c>
      <c r="G300" s="1432" t="str">
        <f>INDEX(PT_DIFFERENTIATION_NTAR,MATCH(B300,PT_DIFFERENTIATION_NTAR_ID,0))</f>
        <v/>
      </c>
      <c r="H300" s="753"/>
      <c r="I300" s="938"/>
      <c r="J300" s="964"/>
      <c r="K300" s="357"/>
      <c r="L300" s="753" t="s">
        <v>305</v>
      </c>
      <c r="M300" s="199"/>
      <c r="N300" s="194"/>
      <c r="O300" s="69"/>
      <c r="P300" s="69"/>
    </row>
    <row r="301" spans="1:16" s="12" customFormat="1" ht="18.75" hidden="1" customHeight="1">
      <c r="A301" s="35"/>
      <c r="B301" s="35"/>
      <c r="C301" s="5" t="s">
        <v>1122</v>
      </c>
      <c r="D301" s="1459"/>
      <c r="E301" s="1219"/>
      <c r="F301" s="1361"/>
      <c r="G301" s="1432"/>
      <c r="H301" s="813"/>
      <c r="I301" s="53" t="s">
        <v>1121</v>
      </c>
      <c r="J301" s="109"/>
      <c r="K301" s="813"/>
      <c r="L301" s="106"/>
      <c r="M301" s="199"/>
      <c r="N301" s="194"/>
      <c r="O301" s="69"/>
      <c r="P301" s="69"/>
    </row>
    <row r="302" spans="1:16" s="12" customFormat="1" ht="0.75" hidden="1" customHeight="1">
      <c r="A302" s="35"/>
      <c r="B302" s="35"/>
      <c r="C302" s="5" t="s">
        <v>1129</v>
      </c>
      <c r="D302" s="1459"/>
      <c r="E302" s="1219"/>
      <c r="F302" s="1361"/>
      <c r="G302" s="225"/>
      <c r="H302" s="813"/>
      <c r="I302" s="53"/>
      <c r="J302" s="109"/>
      <c r="K302" s="813"/>
      <c r="L302" s="106"/>
      <c r="M302" s="199"/>
      <c r="N302" s="194"/>
      <c r="O302" s="69"/>
      <c r="P302" s="69"/>
    </row>
    <row r="303" spans="1:16" s="12" customFormat="1" ht="18.75" hidden="1" customHeight="1">
      <c r="A303" s="35" t="s">
        <v>234</v>
      </c>
      <c r="B303" s="35" t="s">
        <v>235</v>
      </c>
      <c r="C303" s="5"/>
      <c r="D303" s="1459"/>
      <c r="E303" s="1219"/>
      <c r="F303" s="1361" t="str">
        <f>INDEX(PT_DIFFERENTIATION_VTAR,MATCH(A303,PT_DIFFERENTIATION_VTAR_ID,0))</f>
        <v>Тариф на транспортировку воды</v>
      </c>
      <c r="G303" s="1432" t="str">
        <f>INDEX(PT_DIFFERENTIATION_NTAR,MATCH(B303,PT_DIFFERENTIATION_NTAR_ID,0))</f>
        <v/>
      </c>
      <c r="H303" s="753"/>
      <c r="I303" s="938"/>
      <c r="J303" s="964"/>
      <c r="K303" s="357"/>
      <c r="L303" s="753" t="s">
        <v>305</v>
      </c>
      <c r="M303" s="199"/>
      <c r="N303" s="194"/>
      <c r="O303" s="69"/>
      <c r="P303" s="69"/>
    </row>
    <row r="304" spans="1:16" s="12" customFormat="1" ht="18.75" hidden="1" customHeight="1">
      <c r="A304" s="35"/>
      <c r="B304" s="35"/>
      <c r="C304" s="5" t="s">
        <v>1122</v>
      </c>
      <c r="D304" s="1459"/>
      <c r="E304" s="1219"/>
      <c r="F304" s="1361"/>
      <c r="G304" s="1432"/>
      <c r="H304" s="813"/>
      <c r="I304" s="53" t="s">
        <v>1121</v>
      </c>
      <c r="J304" s="109"/>
      <c r="K304" s="813"/>
      <c r="L304" s="106"/>
      <c r="M304" s="199"/>
      <c r="N304" s="194"/>
      <c r="O304" s="69"/>
      <c r="P304" s="69"/>
    </row>
    <row r="305" spans="1:16" s="12" customFormat="1" ht="0.75" hidden="1" customHeight="1">
      <c r="A305" s="35"/>
      <c r="B305" s="35"/>
      <c r="C305" s="5" t="s">
        <v>1129</v>
      </c>
      <c r="D305" s="1459"/>
      <c r="E305" s="1219"/>
      <c r="F305" s="1361"/>
      <c r="G305" s="225"/>
      <c r="H305" s="813"/>
      <c r="I305" s="53"/>
      <c r="J305" s="109"/>
      <c r="K305" s="813"/>
      <c r="L305" s="106"/>
      <c r="M305" s="199"/>
      <c r="N305" s="194"/>
      <c r="O305" s="69"/>
      <c r="P305" s="69"/>
    </row>
    <row r="306" spans="1:16" s="12" customFormat="1" ht="18.75" hidden="1" customHeight="1">
      <c r="A306" s="35" t="s">
        <v>239</v>
      </c>
      <c r="B306" s="35" t="s">
        <v>240</v>
      </c>
      <c r="C306" s="5"/>
      <c r="D306" s="1459"/>
      <c r="E306" s="1219"/>
      <c r="F306" s="1361" t="str">
        <f>INDEX(PT_DIFFERENTIATION_VTAR,MATCH(A306,PT_DIFFERENTIATION_VTAR_ID,0))</f>
        <v>Тариф на подвоз воды</v>
      </c>
      <c r="G306" s="1432" t="str">
        <f>INDEX(PT_DIFFERENTIATION_NTAR,MATCH(B306,PT_DIFFERENTIATION_NTAR_ID,0))</f>
        <v/>
      </c>
      <c r="H306" s="753"/>
      <c r="I306" s="938"/>
      <c r="J306" s="964"/>
      <c r="K306" s="357"/>
      <c r="L306" s="753" t="s">
        <v>305</v>
      </c>
      <c r="M306" s="199"/>
      <c r="N306" s="194"/>
      <c r="O306" s="69"/>
      <c r="P306" s="69"/>
    </row>
    <row r="307" spans="1:16" s="12" customFormat="1" ht="18.75" hidden="1" customHeight="1">
      <c r="A307" s="35"/>
      <c r="B307" s="35"/>
      <c r="C307" s="5" t="s">
        <v>1122</v>
      </c>
      <c r="D307" s="1459"/>
      <c r="E307" s="1219"/>
      <c r="F307" s="1361"/>
      <c r="G307" s="1432"/>
      <c r="H307" s="813"/>
      <c r="I307" s="53" t="s">
        <v>1121</v>
      </c>
      <c r="J307" s="109"/>
      <c r="K307" s="813"/>
      <c r="L307" s="106"/>
      <c r="M307" s="199"/>
      <c r="N307" s="194"/>
      <c r="O307" s="69"/>
      <c r="P307" s="69"/>
    </row>
    <row r="308" spans="1:16" s="12" customFormat="1" ht="0.75" hidden="1" customHeight="1">
      <c r="A308" s="35"/>
      <c r="B308" s="35"/>
      <c r="C308" s="5" t="s">
        <v>1129</v>
      </c>
      <c r="D308" s="1459"/>
      <c r="E308" s="1219"/>
      <c r="F308" s="1361"/>
      <c r="G308" s="225"/>
      <c r="H308" s="813"/>
      <c r="I308" s="53"/>
      <c r="J308" s="109"/>
      <c r="K308" s="813"/>
      <c r="L308" s="106"/>
      <c r="M308" s="199"/>
      <c r="N308" s="194"/>
      <c r="O308" s="69"/>
      <c r="P308" s="69"/>
    </row>
    <row r="309" spans="1:16" s="12" customFormat="1" ht="18.75" hidden="1" customHeight="1">
      <c r="A309" s="35" t="s">
        <v>244</v>
      </c>
      <c r="B309" s="35" t="s">
        <v>245</v>
      </c>
      <c r="C309" s="5"/>
      <c r="D309" s="1459"/>
      <c r="E309" s="1219"/>
      <c r="F309" s="136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32" t="str">
        <f>INDEX(PT_DIFFERENTIATION_NTAR,MATCH(B309,PT_DIFFERENTIATION_NTAR_ID,0))</f>
        <v/>
      </c>
      <c r="H309" s="753"/>
      <c r="I309" s="938"/>
      <c r="J309" s="964"/>
      <c r="K309" s="357"/>
      <c r="L309" s="753" t="s">
        <v>305</v>
      </c>
      <c r="M309" s="199"/>
      <c r="N309" s="194"/>
      <c r="O309" s="69"/>
      <c r="P309" s="69"/>
    </row>
    <row r="310" spans="1:16" s="12" customFormat="1" ht="18.75" hidden="1" customHeight="1">
      <c r="A310" s="35"/>
      <c r="B310" s="35"/>
      <c r="C310" s="5" t="s">
        <v>1122</v>
      </c>
      <c r="D310" s="1459"/>
      <c r="E310" s="1219"/>
      <c r="F310" s="1361"/>
      <c r="G310" s="1432"/>
      <c r="H310" s="813"/>
      <c r="I310" s="53" t="s">
        <v>1121</v>
      </c>
      <c r="J310" s="109"/>
      <c r="K310" s="813"/>
      <c r="L310" s="106"/>
      <c r="M310" s="199"/>
      <c r="N310" s="194"/>
      <c r="O310" s="69"/>
      <c r="P310" s="69"/>
    </row>
    <row r="311" spans="1:16" s="12" customFormat="1" ht="0.75" hidden="1" customHeight="1">
      <c r="A311" s="35"/>
      <c r="B311" s="35"/>
      <c r="C311" s="5" t="s">
        <v>1129</v>
      </c>
      <c r="D311" s="1459"/>
      <c r="E311" s="1219"/>
      <c r="F311" s="1361"/>
      <c r="G311" s="225"/>
      <c r="H311" s="813"/>
      <c r="I311" s="53"/>
      <c r="J311" s="109"/>
      <c r="K311" s="813"/>
      <c r="L311" s="106"/>
      <c r="M311" s="199"/>
      <c r="N311" s="194"/>
      <c r="O311" s="69"/>
      <c r="P311" s="69"/>
    </row>
    <row r="312" spans="1:16" s="12" customFormat="1" ht="18.75" hidden="1" customHeight="1">
      <c r="A312" s="35" t="s">
        <v>249</v>
      </c>
      <c r="B312" s="35" t="s">
        <v>250</v>
      </c>
      <c r="C312" s="5"/>
      <c r="D312" s="1459"/>
      <c r="E312" s="1219"/>
      <c r="F312" s="1361" t="str">
        <f>INDEX(PT_DIFFERENTIATION_VTAR,MATCH(A312,PT_DIFFERENTIATION_VTAR_ID,0))</f>
        <v>Тариф на горячую воду (горячее водоснабжение)</v>
      </c>
      <c r="G312" s="1432" t="str">
        <f>INDEX(PT_DIFFERENTIATION_NTAR,MATCH(B312,PT_DIFFERENTIATION_NTAR_ID,0))</f>
        <v/>
      </c>
      <c r="H312" s="753"/>
      <c r="I312" s="938"/>
      <c r="J312" s="964"/>
      <c r="K312" s="357"/>
      <c r="L312" s="753" t="s">
        <v>305</v>
      </c>
      <c r="M312" s="199"/>
      <c r="N312" s="194"/>
      <c r="O312" s="69"/>
      <c r="P312" s="69"/>
    </row>
    <row r="313" spans="1:16" s="12" customFormat="1" ht="18.75" hidden="1" customHeight="1">
      <c r="A313" s="35"/>
      <c r="B313" s="35"/>
      <c r="C313" s="5" t="s">
        <v>1122</v>
      </c>
      <c r="D313" s="1459"/>
      <c r="E313" s="1219"/>
      <c r="F313" s="1361"/>
      <c r="G313" s="1432"/>
      <c r="H313" s="813"/>
      <c r="I313" s="53" t="s">
        <v>1121</v>
      </c>
      <c r="J313" s="109"/>
      <c r="K313" s="813"/>
      <c r="L313" s="106"/>
      <c r="M313" s="199"/>
      <c r="N313" s="194"/>
      <c r="O313" s="69"/>
      <c r="P313" s="69"/>
    </row>
    <row r="314" spans="1:16" s="12" customFormat="1" ht="0.75" hidden="1" customHeight="1">
      <c r="A314" s="35"/>
      <c r="B314" s="35"/>
      <c r="C314" s="5" t="s">
        <v>1129</v>
      </c>
      <c r="D314" s="1459"/>
      <c r="E314" s="1219"/>
      <c r="F314" s="1361"/>
      <c r="G314" s="225"/>
      <c r="H314" s="813"/>
      <c r="I314" s="53"/>
      <c r="J314" s="109"/>
      <c r="K314" s="813"/>
      <c r="L314" s="106"/>
      <c r="M314" s="199"/>
      <c r="N314" s="194"/>
      <c r="O314" s="69"/>
      <c r="P314" s="69"/>
    </row>
    <row r="315" spans="1:16" s="12" customFormat="1" ht="18.75" hidden="1" customHeight="1">
      <c r="A315" s="35" t="s">
        <v>254</v>
      </c>
      <c r="B315" s="35" t="s">
        <v>255</v>
      </c>
      <c r="C315" s="5"/>
      <c r="D315" s="1459"/>
      <c r="E315" s="1219"/>
      <c r="F315" s="1361" t="str">
        <f>INDEX(PT_DIFFERENTIATION_VTAR,MATCH(A315,PT_DIFFERENTIATION_VTAR_ID,0))</f>
        <v>Тариф на транспортировку горячей воды</v>
      </c>
      <c r="G315" s="1432" t="str">
        <f>INDEX(PT_DIFFERENTIATION_NTAR,MATCH(B315,PT_DIFFERENTIATION_NTAR_ID,0))</f>
        <v/>
      </c>
      <c r="H315" s="753"/>
      <c r="I315" s="938"/>
      <c r="J315" s="964"/>
      <c r="K315" s="357"/>
      <c r="L315" s="753" t="s">
        <v>305</v>
      </c>
      <c r="M315" s="199"/>
      <c r="N315" s="194"/>
      <c r="O315" s="69"/>
      <c r="P315" s="69"/>
    </row>
    <row r="316" spans="1:16" s="12" customFormat="1" ht="18.75" hidden="1" customHeight="1">
      <c r="A316" s="35"/>
      <c r="B316" s="35"/>
      <c r="C316" s="5" t="s">
        <v>1122</v>
      </c>
      <c r="D316" s="1459"/>
      <c r="E316" s="1219"/>
      <c r="F316" s="1361"/>
      <c r="G316" s="1432"/>
      <c r="H316" s="813"/>
      <c r="I316" s="53" t="s">
        <v>1121</v>
      </c>
      <c r="J316" s="109"/>
      <c r="K316" s="813"/>
      <c r="L316" s="106"/>
      <c r="M316" s="199"/>
      <c r="N316" s="194"/>
      <c r="O316" s="69"/>
      <c r="P316" s="69"/>
    </row>
    <row r="317" spans="1:16" s="12" customFormat="1" ht="0.75" hidden="1" customHeight="1">
      <c r="A317" s="35"/>
      <c r="B317" s="35"/>
      <c r="C317" s="5" t="s">
        <v>1129</v>
      </c>
      <c r="D317" s="1459"/>
      <c r="E317" s="1219"/>
      <c r="F317" s="1361"/>
      <c r="G317" s="225"/>
      <c r="H317" s="813"/>
      <c r="I317" s="53"/>
      <c r="J317" s="109"/>
      <c r="K317" s="813"/>
      <c r="L317" s="106"/>
      <c r="M317" s="199"/>
      <c r="N317" s="194"/>
      <c r="O317" s="69"/>
      <c r="P317" s="69"/>
    </row>
    <row r="318" spans="1:16" s="12" customFormat="1" ht="18.75" hidden="1" customHeight="1">
      <c r="A318" s="35" t="s">
        <v>259</v>
      </c>
      <c r="B318" s="35" t="s">
        <v>260</v>
      </c>
      <c r="C318" s="5"/>
      <c r="D318" s="1459"/>
      <c r="E318" s="1219"/>
      <c r="F318" s="1361"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32" t="str">
        <f>INDEX(PT_DIFFERENTIATION_NTAR,MATCH(B318,PT_DIFFERENTIATION_NTAR_ID,0))</f>
        <v/>
      </c>
      <c r="H318" s="753"/>
      <c r="I318" s="938"/>
      <c r="J318" s="964"/>
      <c r="K318" s="357"/>
      <c r="L318" s="753" t="s">
        <v>305</v>
      </c>
      <c r="M318" s="199"/>
      <c r="N318" s="194"/>
      <c r="O318" s="69"/>
      <c r="P318" s="69"/>
    </row>
    <row r="319" spans="1:16" s="12" customFormat="1" ht="18.75" hidden="1" customHeight="1">
      <c r="A319" s="35"/>
      <c r="B319" s="35"/>
      <c r="C319" s="5" t="s">
        <v>1122</v>
      </c>
      <c r="D319" s="1459"/>
      <c r="E319" s="1219"/>
      <c r="F319" s="1361"/>
      <c r="G319" s="1432"/>
      <c r="H319" s="813"/>
      <c r="I319" s="53" t="s">
        <v>1121</v>
      </c>
      <c r="J319" s="109"/>
      <c r="K319" s="813"/>
      <c r="L319" s="106"/>
      <c r="M319" s="199"/>
      <c r="N319" s="194"/>
      <c r="O319" s="69"/>
      <c r="P319" s="69"/>
    </row>
    <row r="320" spans="1:16" s="12" customFormat="1" ht="0.75" hidden="1" customHeight="1">
      <c r="A320" s="35"/>
      <c r="B320" s="35"/>
      <c r="C320" s="5" t="s">
        <v>1129</v>
      </c>
      <c r="D320" s="1459"/>
      <c r="E320" s="1219"/>
      <c r="F320" s="1361"/>
      <c r="G320" s="225"/>
      <c r="H320" s="813"/>
      <c r="I320" s="53"/>
      <c r="J320" s="109"/>
      <c r="K320" s="813"/>
      <c r="L320" s="106"/>
      <c r="M320" s="199"/>
      <c r="N320" s="194"/>
      <c r="O320" s="69"/>
      <c r="P320" s="69"/>
    </row>
    <row r="321" spans="1:16" s="12" customFormat="1" ht="18.75" hidden="1" customHeight="1">
      <c r="A321" s="35" t="s">
        <v>264</v>
      </c>
      <c r="B321" s="35" t="s">
        <v>265</v>
      </c>
      <c r="C321" s="5"/>
      <c r="D321" s="1459"/>
      <c r="E321" s="1219"/>
      <c r="F321" s="1361" t="str">
        <f>INDEX(PT_DIFFERENTIATION_VTAR,MATCH(A321,PT_DIFFERENTIATION_VTAR_ID,0))</f>
        <v>Тариф на водоотведение</v>
      </c>
      <c r="G321" s="1432" t="str">
        <f>INDEX(PT_DIFFERENTIATION_NTAR,MATCH(B321,PT_DIFFERENTIATION_NTAR_ID,0))</f>
        <v/>
      </c>
      <c r="H321" s="753"/>
      <c r="I321" s="938"/>
      <c r="J321" s="964"/>
      <c r="K321" s="357"/>
      <c r="L321" s="753" t="s">
        <v>305</v>
      </c>
      <c r="M321" s="199"/>
      <c r="N321" s="194"/>
      <c r="O321" s="69"/>
      <c r="P321" s="69"/>
    </row>
    <row r="322" spans="1:16" s="12" customFormat="1" ht="18.75" hidden="1" customHeight="1">
      <c r="A322" s="35"/>
      <c r="B322" s="35"/>
      <c r="C322" s="5" t="s">
        <v>1122</v>
      </c>
      <c r="D322" s="1459"/>
      <c r="E322" s="1219"/>
      <c r="F322" s="1361"/>
      <c r="G322" s="1432"/>
      <c r="H322" s="813"/>
      <c r="I322" s="53" t="s">
        <v>1121</v>
      </c>
      <c r="J322" s="109"/>
      <c r="K322" s="813"/>
      <c r="L322" s="106"/>
      <c r="M322" s="199"/>
      <c r="N322" s="194"/>
      <c r="O322" s="69"/>
      <c r="P322" s="69"/>
    </row>
    <row r="323" spans="1:16" s="12" customFormat="1" ht="0.75" hidden="1" customHeight="1">
      <c r="A323" s="35"/>
      <c r="B323" s="35"/>
      <c r="C323" s="5" t="s">
        <v>1129</v>
      </c>
      <c r="D323" s="1459"/>
      <c r="E323" s="1219"/>
      <c r="F323" s="1361"/>
      <c r="G323" s="225"/>
      <c r="H323" s="813"/>
      <c r="I323" s="53"/>
      <c r="J323" s="109"/>
      <c r="K323" s="813"/>
      <c r="L323" s="106"/>
      <c r="M323" s="199"/>
      <c r="N323" s="194"/>
      <c r="O323" s="69"/>
      <c r="P323" s="69"/>
    </row>
    <row r="324" spans="1:16" s="12" customFormat="1" ht="18.75" hidden="1" customHeight="1">
      <c r="A324" s="35" t="s">
        <v>269</v>
      </c>
      <c r="B324" s="35" t="s">
        <v>270</v>
      </c>
      <c r="C324" s="5"/>
      <c r="D324" s="1459"/>
      <c r="E324" s="1219"/>
      <c r="F324" s="1361" t="str">
        <f>INDEX(PT_DIFFERENTIATION_VTAR,MATCH(A324,PT_DIFFERENTIATION_VTAR_ID,0))</f>
        <v>Тариф на транспортировку сточных вод</v>
      </c>
      <c r="G324" s="1432" t="str">
        <f>INDEX(PT_DIFFERENTIATION_NTAR,MATCH(B324,PT_DIFFERENTIATION_NTAR_ID,0))</f>
        <v/>
      </c>
      <c r="H324" s="753"/>
      <c r="I324" s="938"/>
      <c r="J324" s="964"/>
      <c r="K324" s="357"/>
      <c r="L324" s="753" t="s">
        <v>305</v>
      </c>
      <c r="M324" s="199"/>
      <c r="N324" s="194"/>
      <c r="O324" s="69"/>
      <c r="P324" s="69"/>
    </row>
    <row r="325" spans="1:16" s="12" customFormat="1" ht="18.75" hidden="1" customHeight="1">
      <c r="A325" s="35"/>
      <c r="B325" s="35"/>
      <c r="C325" s="5" t="s">
        <v>1122</v>
      </c>
      <c r="D325" s="1459"/>
      <c r="E325" s="1219"/>
      <c r="F325" s="1361"/>
      <c r="G325" s="1432"/>
      <c r="H325" s="813"/>
      <c r="I325" s="53" t="s">
        <v>1121</v>
      </c>
      <c r="J325" s="109"/>
      <c r="K325" s="813"/>
      <c r="L325" s="106"/>
      <c r="M325" s="199"/>
      <c r="N325" s="194"/>
      <c r="O325" s="69"/>
      <c r="P325" s="69"/>
    </row>
    <row r="326" spans="1:16" s="12" customFormat="1" ht="0.75" hidden="1" customHeight="1">
      <c r="A326" s="35"/>
      <c r="B326" s="35"/>
      <c r="C326" s="5" t="s">
        <v>1129</v>
      </c>
      <c r="D326" s="1459"/>
      <c r="E326" s="1219"/>
      <c r="F326" s="1361"/>
      <c r="G326" s="225"/>
      <c r="H326" s="813"/>
      <c r="I326" s="53"/>
      <c r="J326" s="109"/>
      <c r="K326" s="813"/>
      <c r="L326" s="106"/>
      <c r="M326" s="199"/>
      <c r="N326" s="194"/>
      <c r="O326" s="69"/>
      <c r="P326" s="69"/>
    </row>
    <row r="327" spans="1:16" s="12" customFormat="1" ht="18.75" hidden="1" customHeight="1">
      <c r="A327" s="35" t="s">
        <v>274</v>
      </c>
      <c r="B327" s="35" t="s">
        <v>275</v>
      </c>
      <c r="C327" s="5"/>
      <c r="D327" s="1459"/>
      <c r="E327" s="1219"/>
      <c r="F327" s="1361" t="str">
        <f>INDEX(PT_DIFFERENTIATION_VTAR,MATCH(A327,PT_DIFFERENTIATION_VTAR_ID,0))</f>
        <v>Тариф на подключение (технологическое присоединение) к централизованной системе водоотведения</v>
      </c>
      <c r="G327" s="1432" t="str">
        <f>INDEX(PT_DIFFERENTIATION_NTAR,MATCH(B327,PT_DIFFERENTIATION_NTAR_ID,0))</f>
        <v/>
      </c>
      <c r="H327" s="753"/>
      <c r="I327" s="938"/>
      <c r="J327" s="964"/>
      <c r="K327" s="357"/>
      <c r="L327" s="753" t="s">
        <v>305</v>
      </c>
      <c r="M327" s="199"/>
      <c r="N327" s="194"/>
      <c r="O327" s="69"/>
      <c r="P327" s="69"/>
    </row>
    <row r="328" spans="1:16" s="12" customFormat="1" ht="18.75" hidden="1" customHeight="1">
      <c r="A328" s="35"/>
      <c r="B328" s="35"/>
      <c r="C328" s="5" t="s">
        <v>1122</v>
      </c>
      <c r="D328" s="1459"/>
      <c r="E328" s="1219"/>
      <c r="F328" s="1361"/>
      <c r="G328" s="1432"/>
      <c r="H328" s="813"/>
      <c r="I328" s="53" t="s">
        <v>1121</v>
      </c>
      <c r="J328" s="109"/>
      <c r="K328" s="813"/>
      <c r="L328" s="106"/>
      <c r="M328" s="199"/>
      <c r="N328" s="194"/>
      <c r="O328" s="69"/>
      <c r="P328" s="69"/>
    </row>
    <row r="329" spans="1:16" s="12" customFormat="1" ht="0.75" customHeight="1">
      <c r="A329" s="35"/>
      <c r="B329" s="35"/>
      <c r="C329" s="5" t="s">
        <v>1129</v>
      </c>
      <c r="D329" s="1459"/>
      <c r="E329" s="1219"/>
      <c r="F329" s="1361"/>
      <c r="G329" s="225"/>
      <c r="H329" s="813"/>
      <c r="I329" s="53"/>
      <c r="J329" s="109"/>
      <c r="K329" s="813"/>
      <c r="L329" s="106"/>
      <c r="M329" s="199"/>
      <c r="N329" s="194"/>
      <c r="O329" s="69"/>
      <c r="P329" s="69"/>
    </row>
    <row r="330" spans="1:16" s="35" customFormat="1" ht="3" customHeight="1">
      <c r="E330" s="227"/>
      <c r="F330" s="227"/>
      <c r="G330" s="227"/>
      <c r="H330" s="227"/>
      <c r="I330" s="227"/>
      <c r="J330" s="227"/>
      <c r="K330" s="227"/>
      <c r="L330" s="227"/>
      <c r="M330" s="227"/>
      <c r="O330" s="102"/>
      <c r="P330" s="102"/>
    </row>
    <row r="331" spans="1:16" ht="24.75" customHeight="1">
      <c r="E331" s="107"/>
      <c r="F331" s="1285"/>
      <c r="G331" s="1285"/>
      <c r="H331" s="1285"/>
      <c r="I331" s="1285"/>
      <c r="J331" s="1285"/>
      <c r="K331" s="1285"/>
      <c r="L331" s="1285"/>
      <c r="M331" s="1285"/>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D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D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5" xr:uid="{00000000-0002-0000-2D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D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7D7BC-405B-6375-8ECD-C5A7B45499EE}">
  <sheetPr>
    <tabColor theme="6" tint="0.39997558519241921"/>
  </sheetPr>
  <dimension ref="A1:Q16"/>
  <sheetViews>
    <sheetView showGridLines="0" topLeftCell="C4" zoomScale="90" workbookViewId="0"/>
  </sheetViews>
  <sheetFormatPr defaultColWidth="10.5703125" defaultRowHeight="14.25" customHeight="1"/>
  <cols>
    <col min="1" max="1" width="9.140625" style="34" hidden="1" customWidth="1"/>
    <col min="2" max="2" width="9.140625" style="63" hidden="1" customWidth="1"/>
    <col min="3" max="3" width="3.7109375" style="30" customWidth="1"/>
    <col min="4" max="4" width="6.28515625" style="12" customWidth="1"/>
    <col min="5" max="5" width="53.85546875" style="12" customWidth="1"/>
    <col min="6" max="7" width="35.7109375" style="12" customWidth="1"/>
    <col min="8" max="8" width="89.5703125" style="12" customWidth="1"/>
    <col min="9" max="9" width="10.5703125" style="12"/>
    <col min="10" max="11" width="10.5703125" style="69"/>
    <col min="12" max="17" width="10.5703125" style="12"/>
  </cols>
  <sheetData>
    <row r="1" spans="1:17" ht="14.25" hidden="1" customHeight="1">
      <c r="N1" s="148"/>
      <c r="O1" s="148"/>
      <c r="Q1" s="148"/>
    </row>
    <row r="2" spans="1:17" s="12" customFormat="1" ht="18.75" hidden="1" customHeight="1">
      <c r="A2" s="35"/>
      <c r="B2" s="63"/>
      <c r="C2" s="929" t="s">
        <v>117</v>
      </c>
      <c r="D2" s="64"/>
      <c r="E2" s="488"/>
      <c r="F2" s="149"/>
      <c r="G2" s="115"/>
      <c r="I2" s="69"/>
      <c r="J2" s="69"/>
    </row>
    <row r="3" spans="1:17" ht="14.25" hidden="1" customHeight="1"/>
    <row r="4" spans="1:17" ht="6" customHeight="1">
      <c r="C4" s="29"/>
      <c r="D4" s="11"/>
      <c r="E4" s="11"/>
      <c r="F4" s="11"/>
      <c r="G4" s="21"/>
      <c r="H4" s="21"/>
    </row>
    <row r="5" spans="1:17" ht="33" customHeight="1">
      <c r="C5" s="29"/>
      <c r="D5" s="117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176"/>
      <c r="F5" s="1176"/>
      <c r="G5" s="1177"/>
      <c r="H5" s="154"/>
    </row>
    <row r="6" spans="1:17" s="12" customFormat="1" ht="17.25" customHeight="1">
      <c r="A6" s="34"/>
      <c r="B6" s="63"/>
      <c r="C6" s="29"/>
      <c r="D6" s="1229" t="str">
        <f>IF(org=0,"Не определено",org)</f>
        <v>АО "ХТК"</v>
      </c>
      <c r="E6" s="1230"/>
      <c r="F6" s="1230"/>
      <c r="G6" s="1231"/>
      <c r="H6" s="154"/>
      <c r="J6" s="69"/>
      <c r="K6" s="69"/>
    </row>
    <row r="7" spans="1:17" ht="14.25" customHeight="1">
      <c r="C7" s="29"/>
      <c r="D7" s="11"/>
      <c r="E7" s="15"/>
      <c r="F7" s="15"/>
      <c r="G7" s="426"/>
      <c r="H7" s="99"/>
    </row>
    <row r="8" spans="1:17" ht="14.25" customHeight="1">
      <c r="C8" s="29"/>
      <c r="D8" s="1224" t="s">
        <v>299</v>
      </c>
      <c r="E8" s="1224"/>
      <c r="F8" s="1224"/>
      <c r="G8" s="1224"/>
      <c r="H8" s="1457" t="s">
        <v>300</v>
      </c>
    </row>
    <row r="9" spans="1:17" ht="14.25" customHeight="1">
      <c r="C9" s="29"/>
      <c r="D9" s="37" t="s">
        <v>84</v>
      </c>
      <c r="E9" s="40" t="s">
        <v>301</v>
      </c>
      <c r="F9" s="40" t="s">
        <v>302</v>
      </c>
      <c r="G9" s="40" t="s">
        <v>389</v>
      </c>
      <c r="H9" s="1457"/>
    </row>
    <row r="10" spans="1:17" ht="14.25" customHeight="1">
      <c r="A10" s="35"/>
      <c r="C10" s="29"/>
      <c r="D10" s="64" t="s">
        <v>105</v>
      </c>
      <c r="E10" s="100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49"/>
      <c r="G10" s="115"/>
      <c r="H10" s="1187" t="s">
        <v>1130</v>
      </c>
    </row>
    <row r="11" spans="1:17" ht="14.25" customHeight="1">
      <c r="A11" s="35"/>
      <c r="C11" s="29"/>
      <c r="D11" s="64" t="s">
        <v>106</v>
      </c>
      <c r="E11" s="100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49"/>
      <c r="G11" s="115"/>
      <c r="H11" s="1188"/>
    </row>
    <row r="12" spans="1:17" ht="14.25" customHeight="1">
      <c r="A12" s="35"/>
      <c r="C12" s="24"/>
      <c r="D12" s="64" t="s">
        <v>86</v>
      </c>
      <c r="E12" s="121" t="str">
        <f>"Сведения о планировании закупочных процедур"&amp;IF(TEMPLATE_SPHERE="TKO"," &lt;1&gt;","")</f>
        <v>Сведения о планировании закупочных процедур</v>
      </c>
      <c r="F12" s="149"/>
      <c r="G12" s="115"/>
      <c r="H12" s="11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9"/>
      <c r="K12" s="12"/>
    </row>
    <row r="13" spans="1:17" ht="14.25" customHeight="1">
      <c r="A13" s="35"/>
      <c r="C13" s="24"/>
      <c r="D13" s="64" t="s">
        <v>87</v>
      </c>
      <c r="E13" s="121" t="str">
        <f>"Сведения о результатах проведения закупочных процедур"&amp;IF(TEMPLATE_SPHERE="TKO"," &lt;1&gt;","")</f>
        <v>Сведения о результатах проведения закупочных процедур</v>
      </c>
      <c r="F13" s="149"/>
      <c r="G13" s="115"/>
      <c r="H13" s="1188"/>
      <c r="I13" s="69"/>
      <c r="K13" s="12"/>
    </row>
    <row r="14" spans="1:17" ht="14.25" customHeight="1">
      <c r="A14" s="35"/>
      <c r="C14" s="29"/>
      <c r="D14" s="41"/>
      <c r="E14" s="53" t="s">
        <v>321</v>
      </c>
      <c r="F14" s="109"/>
      <c r="G14" s="106"/>
      <c r="H14" s="1189"/>
    </row>
    <row r="15" spans="1:17" s="12" customFormat="1" ht="14.25" customHeight="1">
      <c r="A15" s="35"/>
      <c r="B15" s="63"/>
      <c r="C15" s="29"/>
      <c r="D15" s="223"/>
      <c r="E15" s="892"/>
      <c r="F15" s="893"/>
      <c r="G15" s="894"/>
      <c r="H15" s="895"/>
      <c r="J15" s="69"/>
      <c r="K15" s="69"/>
    </row>
    <row r="16" spans="1:17" ht="14.25" customHeight="1">
      <c r="D16" s="196"/>
      <c r="E16" s="1285"/>
      <c r="F16" s="1285"/>
      <c r="G16" s="1285"/>
      <c r="H16" s="1285"/>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E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9B8DE-E831-FA3D-815A-734F51EA2B51}">
  <sheetPr>
    <tabColor theme="2" tint="-9.9978637043366805E-2"/>
  </sheetPr>
  <dimension ref="A1:W29"/>
  <sheetViews>
    <sheetView showGridLines="0" topLeftCell="C4" zoomScale="90" workbookViewId="0">
      <selection activeCell="K8" sqref="K8"/>
    </sheetView>
  </sheetViews>
  <sheetFormatPr defaultColWidth="10.5703125" defaultRowHeight="15" customHeight="1"/>
  <cols>
    <col min="1" max="1" width="9.140625" style="9" hidden="1" customWidth="1"/>
    <col min="2" max="2" width="9.140625" style="12" hidden="1" customWidth="1"/>
    <col min="3" max="3" width="4.7109375" style="86" customWidth="1"/>
    <col min="4" max="4" width="6.28515625" style="12" customWidth="1"/>
    <col min="5" max="5" width="47.85546875" style="12" customWidth="1"/>
    <col min="6" max="6" width="9.5703125" style="12" customWidth="1"/>
    <col min="7" max="7" width="25.7109375" style="12" hidden="1" customWidth="1"/>
    <col min="8" max="8" width="34" style="12" hidden="1" customWidth="1"/>
    <col min="9" max="9" width="25.7109375" style="12" customWidth="1"/>
    <col min="10" max="10" width="34" style="12" customWidth="1"/>
    <col min="11" max="11" width="25.7109375" style="12" customWidth="1"/>
    <col min="12" max="12" width="34" style="12" customWidth="1"/>
    <col min="13" max="13" width="50.85546875" style="63" customWidth="1"/>
    <col min="14" max="22" width="10.5703125" style="12"/>
    <col min="23" max="23" width="10.5703125" style="300"/>
  </cols>
  <sheetData>
    <row r="1" spans="1:23" s="63" customFormat="1" ht="15" hidden="1" customHeight="1">
      <c r="C1" s="299"/>
      <c r="G1" s="63">
        <v>4</v>
      </c>
      <c r="I1" s="63">
        <v>4</v>
      </c>
      <c r="K1" s="63">
        <v>4</v>
      </c>
      <c r="W1" s="234"/>
    </row>
    <row r="2" spans="1:23" s="12" customFormat="1" ht="15" hidden="1" customHeight="1">
      <c r="A2" s="9"/>
      <c r="C2" s="86"/>
      <c r="D2" s="56"/>
      <c r="E2" s="374"/>
      <c r="F2" s="59"/>
      <c r="G2" s="78"/>
      <c r="H2" s="78"/>
      <c r="I2" s="78"/>
      <c r="J2" s="78"/>
      <c r="K2" s="78"/>
      <c r="L2" s="78"/>
      <c r="W2" s="300"/>
    </row>
    <row r="3" spans="1:23" s="63" customFormat="1" ht="15" hidden="1" customHeight="1">
      <c r="C3" s="299"/>
      <c r="W3" s="234"/>
    </row>
    <row r="5" spans="1:23" ht="63" customHeight="1">
      <c r="D5" s="1249" t="s">
        <v>1131</v>
      </c>
      <c r="E5" s="1249"/>
      <c r="F5" s="1249"/>
      <c r="G5" s="1249"/>
      <c r="H5" s="1249"/>
      <c r="I5" s="1249"/>
      <c r="J5" s="1249"/>
      <c r="K5" s="1082"/>
      <c r="L5" s="1082"/>
    </row>
    <row r="6" spans="1:23" ht="15" customHeight="1">
      <c r="D6" s="1194" t="str">
        <f>IF(org=0,"Не определено",org)</f>
        <v>АО "ХТК"</v>
      </c>
      <c r="E6" s="1194"/>
      <c r="F6" s="1194"/>
      <c r="G6" s="1194"/>
      <c r="H6" s="1194"/>
      <c r="I6" s="1194"/>
      <c r="J6" s="1194"/>
      <c r="K6" s="1081"/>
      <c r="L6" s="1081"/>
    </row>
    <row r="7" spans="1:23" ht="15" customHeight="1">
      <c r="D7" s="426"/>
      <c r="G7" s="63">
        <v>22</v>
      </c>
      <c r="I7" s="63">
        <v>1</v>
      </c>
      <c r="J7" s="426"/>
      <c r="K7" s="63" t="s">
        <v>18</v>
      </c>
    </row>
    <row r="8" spans="1:23" s="12" customFormat="1" ht="0.75" customHeight="1">
      <c r="A8" s="9"/>
      <c r="C8" s="86"/>
      <c r="G8" s="63"/>
      <c r="H8" s="426"/>
      <c r="I8" s="63" t="s">
        <v>114</v>
      </c>
      <c r="J8" s="426"/>
      <c r="K8" s="63" t="s">
        <v>119</v>
      </c>
      <c r="L8" s="426"/>
      <c r="M8" s="63"/>
      <c r="W8" s="300"/>
    </row>
    <row r="9" spans="1:23" ht="15" customHeight="1">
      <c r="D9" s="400"/>
      <c r="E9" s="1347" t="s">
        <v>101</v>
      </c>
      <c r="F9" s="1348"/>
      <c r="G9" s="1371" t="str">
        <f>IF(G8="","",INDEX(DIFFERENTIATION_UNMERGE_VD,MATCH(G8,DIFFERENTIATION_ID_DIFF,0)))</f>
        <v/>
      </c>
      <c r="H9" s="1372"/>
      <c r="I9" s="1371" t="str">
        <f>IF(I8="","",INDEX(DIFFERENTIATION_UNMERGE_VD,MATCH(I8,DIFFERENTIATION_ID_DIFF,0)))</f>
        <v>Передача. Тепловая энергия</v>
      </c>
      <c r="J9" s="1372"/>
      <c r="K9" s="1371" t="str">
        <f>IF(K8="","",INDEX(DIFFERENTIATION_UNMERGE_VD,MATCH(K8,DIFFERENTIATION_ID_DIFF,0)))</f>
        <v>Передача. Тепловая энергия</v>
      </c>
      <c r="L9" s="1372"/>
      <c r="M9" s="1193" t="s">
        <v>300</v>
      </c>
    </row>
    <row r="10" spans="1:23" s="12" customFormat="1" ht="15" customHeight="1">
      <c r="A10" s="9"/>
      <c r="C10" s="86"/>
      <c r="D10" s="400"/>
      <c r="E10" s="1347" t="s">
        <v>563</v>
      </c>
      <c r="F10" s="1348"/>
      <c r="G10" s="1371" t="str">
        <f>IF(G8="","",INDEX(DIFFERENTIATION_UNMERGE_AREA,MATCH(G8,DIFFERENTIATION_ID_DIFF,0)))</f>
        <v/>
      </c>
      <c r="H10" s="1372"/>
      <c r="I10" s="1371" t="str">
        <f>IF(I8="","",INDEX(DIFFERENTIATION_UNMERGE_AREA,MATCH(I8,DIFFERENTIATION_ID_DIFF,0)))</f>
        <v>Территория 1</v>
      </c>
      <c r="J10" s="1372"/>
      <c r="K10" s="1371" t="str">
        <f>IF(K8="","",INDEX(DIFFERENTIATION_UNMERGE_AREA,MATCH(K8,DIFFERENTIATION_ID_DIFF,0)))</f>
        <v>Территория 1</v>
      </c>
      <c r="L10" s="1372"/>
      <c r="M10" s="1214"/>
      <c r="W10" s="300"/>
    </row>
    <row r="11" spans="1:23" s="12" customFormat="1" ht="15" customHeight="1">
      <c r="A11" s="9"/>
      <c r="C11" s="86"/>
      <c r="D11" s="400"/>
      <c r="E11" s="1347" t="s">
        <v>564</v>
      </c>
      <c r="F11" s="1348"/>
      <c r="G11" s="1371" t="str">
        <f>IF(G8="","",INDEX(DIFFERENTIATION_UNMERGE_SYSTEM,MATCH(G8,DIFFERENTIATION_ID_DIFF,0)))</f>
        <v/>
      </c>
      <c r="H11" s="1372"/>
      <c r="I11" s="1371" t="str">
        <f>IF(I8="","",INDEX(DIFFERENTIATION_UNMERGE_SYSTEM,MATCH(I8,DIFFERENTIATION_ID_DIFF,0)))</f>
        <v>система теплоснабжения г. Кировск</v>
      </c>
      <c r="J11" s="1372"/>
      <c r="K11" s="1371" t="str">
        <f>IF(K8="","",INDEX(DIFFERENTIATION_UNMERGE_SYSTEM,MATCH(K8,DIFFERENTIATION_ID_DIFF,0)))</f>
        <v>система теплоснабжения н.п. Титан</v>
      </c>
      <c r="L11" s="1372"/>
      <c r="M11" s="1214"/>
      <c r="W11" s="300"/>
    </row>
    <row r="12" spans="1:23" s="12" customFormat="1" ht="15" customHeight="1">
      <c r="A12" s="9"/>
      <c r="C12" s="86"/>
      <c r="D12" s="1349" t="s">
        <v>299</v>
      </c>
      <c r="E12" s="1350"/>
      <c r="F12" s="1350"/>
      <c r="G12" s="503"/>
      <c r="H12" s="503"/>
      <c r="I12" s="503"/>
      <c r="J12" s="503"/>
      <c r="K12" s="503"/>
      <c r="L12" s="503"/>
      <c r="M12" s="1214"/>
      <c r="W12" s="300"/>
    </row>
    <row r="13" spans="1:23" ht="33.75" customHeight="1">
      <c r="D13" s="42" t="s">
        <v>84</v>
      </c>
      <c r="E13" s="42" t="s">
        <v>301</v>
      </c>
      <c r="F13" s="42" t="s">
        <v>565</v>
      </c>
      <c r="G13" s="380" t="s">
        <v>302</v>
      </c>
      <c r="H13" s="42" t="s">
        <v>389</v>
      </c>
      <c r="I13" s="380" t="s">
        <v>302</v>
      </c>
      <c r="J13" s="42" t="s">
        <v>389</v>
      </c>
      <c r="K13" s="380" t="s">
        <v>302</v>
      </c>
      <c r="L13" s="42" t="s">
        <v>389</v>
      </c>
      <c r="M13" s="1244"/>
    </row>
    <row r="14" spans="1:23" ht="15" hidden="1" customHeight="1">
      <c r="D14" s="336" t="s">
        <v>105</v>
      </c>
      <c r="E14" s="336" t="s">
        <v>106</v>
      </c>
      <c r="F14" s="336" t="s">
        <v>86</v>
      </c>
      <c r="G14" s="86" t="str">
        <f>G1&amp;".1"</f>
        <v>4.1</v>
      </c>
      <c r="H14" s="86"/>
      <c r="I14" s="86" t="str">
        <f>I1&amp;".1"</f>
        <v>4.1</v>
      </c>
      <c r="J14" s="86"/>
      <c r="K14" s="86" t="str">
        <f>K1&amp;".1"</f>
        <v>4.1</v>
      </c>
      <c r="L14" s="86"/>
      <c r="M14" s="67"/>
    </row>
    <row r="15" spans="1:23" ht="22.5" hidden="1" customHeight="1">
      <c r="A15" s="12"/>
      <c r="C15" s="76"/>
      <c r="D15" s="42">
        <v>1</v>
      </c>
      <c r="E15" s="151" t="s">
        <v>724</v>
      </c>
      <c r="F15" s="42" t="s">
        <v>725</v>
      </c>
      <c r="G15" s="375"/>
      <c r="H15" s="375"/>
      <c r="I15" s="375"/>
      <c r="J15" s="375"/>
      <c r="K15" s="375"/>
      <c r="L15" s="375"/>
      <c r="M15" s="67" t="s">
        <v>727</v>
      </c>
    </row>
    <row r="16" spans="1:23" ht="22.5" hidden="1" customHeight="1">
      <c r="A16" s="12"/>
      <c r="C16" s="76"/>
      <c r="D16" s="42">
        <v>2</v>
      </c>
      <c r="E16" s="151" t="s">
        <v>728</v>
      </c>
      <c r="F16" s="42" t="s">
        <v>729</v>
      </c>
      <c r="G16" s="375"/>
      <c r="H16" s="375"/>
      <c r="I16" s="375"/>
      <c r="J16" s="375"/>
      <c r="K16" s="375"/>
      <c r="L16" s="375"/>
      <c r="M16" s="67" t="s">
        <v>730</v>
      </c>
    </row>
    <row r="17" spans="1:13" ht="123.75" hidden="1" customHeight="1">
      <c r="A17" s="12"/>
      <c r="C17" s="76"/>
      <c r="D17" s="42">
        <v>3</v>
      </c>
      <c r="E17" s="151" t="s">
        <v>1132</v>
      </c>
      <c r="F17" s="42" t="s">
        <v>305</v>
      </c>
      <c r="G17" s="375"/>
      <c r="H17" s="375"/>
      <c r="I17" s="375"/>
      <c r="J17" s="375"/>
      <c r="K17" s="375"/>
      <c r="L17" s="375"/>
      <c r="M17" s="67" t="s">
        <v>1133</v>
      </c>
    </row>
    <row r="18" spans="1:13" ht="45" customHeight="1">
      <c r="A18" s="12"/>
      <c r="C18" s="76"/>
      <c r="D18" s="42">
        <v>3</v>
      </c>
      <c r="E18" s="151" t="s">
        <v>731</v>
      </c>
      <c r="F18" s="42" t="s">
        <v>305</v>
      </c>
      <c r="G18" s="42" t="s">
        <v>305</v>
      </c>
      <c r="H18" s="332" t="s">
        <v>305</v>
      </c>
      <c r="I18" s="42" t="s">
        <v>305</v>
      </c>
      <c r="J18" s="332" t="s">
        <v>305</v>
      </c>
      <c r="K18" s="42" t="s">
        <v>305</v>
      </c>
      <c r="L18" s="332" t="s">
        <v>305</v>
      </c>
      <c r="M18" s="67" t="s">
        <v>1134</v>
      </c>
    </row>
    <row r="19" spans="1:13" ht="33.75" customHeight="1">
      <c r="A19" s="12"/>
      <c r="C19" s="76"/>
      <c r="D19" s="44" t="s">
        <v>323</v>
      </c>
      <c r="E19" s="321" t="s">
        <v>733</v>
      </c>
      <c r="F19" s="42" t="s">
        <v>734</v>
      </c>
      <c r="G19" s="459"/>
      <c r="H19" s="38"/>
      <c r="I19" s="459"/>
      <c r="J19" s="226"/>
      <c r="K19" s="459"/>
      <c r="L19" s="38"/>
      <c r="M19" s="376"/>
    </row>
    <row r="20" spans="1:13" ht="33.75" customHeight="1">
      <c r="A20" s="12"/>
      <c r="C20" s="76"/>
      <c r="D20" s="44" t="s">
        <v>331</v>
      </c>
      <c r="E20" s="321" t="s">
        <v>735</v>
      </c>
      <c r="F20" s="42" t="s">
        <v>736</v>
      </c>
      <c r="G20" s="459"/>
      <c r="H20" s="38"/>
      <c r="I20" s="459"/>
      <c r="J20" s="38"/>
      <c r="K20" s="459"/>
      <c r="L20" s="38"/>
      <c r="M20" s="376"/>
    </row>
    <row r="21" spans="1:13" ht="45" customHeight="1">
      <c r="A21" s="12"/>
      <c r="C21" s="76"/>
      <c r="D21" s="44" t="s">
        <v>333</v>
      </c>
      <c r="E21" s="321" t="s">
        <v>737</v>
      </c>
      <c r="F21" s="42" t="s">
        <v>570</v>
      </c>
      <c r="G21" s="377"/>
      <c r="H21" s="38"/>
      <c r="I21" s="377"/>
      <c r="J21" s="38"/>
      <c r="K21" s="377"/>
      <c r="L21" s="38"/>
      <c r="M21" s="376"/>
    </row>
    <row r="22" spans="1:13" ht="67.5" hidden="1" customHeight="1">
      <c r="A22" s="12"/>
      <c r="C22" s="76"/>
      <c r="D22" s="42">
        <v>5</v>
      </c>
      <c r="E22" s="151" t="s">
        <v>1135</v>
      </c>
      <c r="F22" s="42" t="s">
        <v>557</v>
      </c>
      <c r="G22" s="378"/>
      <c r="H22" s="379"/>
      <c r="I22" s="378"/>
      <c r="J22" s="379"/>
      <c r="K22" s="378"/>
      <c r="L22" s="379"/>
      <c r="M22" s="67" t="s">
        <v>1136</v>
      </c>
    </row>
    <row r="23" spans="1:13" ht="33.75" hidden="1" customHeight="1">
      <c r="C23" s="76"/>
      <c r="D23" s="42">
        <v>6</v>
      </c>
      <c r="E23" s="151" t="s">
        <v>1137</v>
      </c>
      <c r="F23" s="42" t="s">
        <v>1138</v>
      </c>
      <c r="G23" s="378"/>
      <c r="H23" s="378"/>
      <c r="I23" s="378"/>
      <c r="J23" s="378"/>
      <c r="K23" s="378"/>
      <c r="L23" s="378"/>
      <c r="M23" s="67" t="s">
        <v>1139</v>
      </c>
    </row>
    <row r="29" spans="1:13" ht="15" customHeight="1">
      <c r="J29" s="460"/>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xr:uid="{00000000-0002-0000-2F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F00-000001000000}"/>
    <dataValidation type="whole" allowBlank="1" showErrorMessage="1" errorTitle="Ошибка" error="Допускается ввод только неотрицательных целых чисел!" sqref="G19:G20 I19:I20 K19 K20" xr:uid="{00000000-0002-0000-2F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xr:uid="{00000000-0002-0000-2F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C54E6-BDCB-A00B-A17E-764529752EDA}">
  <sheetPr>
    <tabColor rgb="FFFFCC99"/>
  </sheetPr>
  <dimension ref="A1:CD118"/>
  <sheetViews>
    <sheetView showGridLines="0" workbookViewId="0"/>
  </sheetViews>
  <sheetFormatPr defaultColWidth="9.140625" defaultRowHeight="11.25" customHeight="1"/>
  <cols>
    <col min="1" max="1" width="32.5703125" style="652" customWidth="1"/>
    <col min="2" max="2" width="11" customWidth="1"/>
    <col min="4" max="4" width="26.5703125" customWidth="1"/>
    <col min="5" max="5" width="36.85546875" style="35" customWidth="1"/>
    <col min="6" max="6" width="23.5703125" style="35" customWidth="1"/>
    <col min="7" max="7" width="31.42578125" style="35" customWidth="1"/>
    <col min="8" max="8" width="40.85546875" style="35" customWidth="1"/>
    <col min="9" max="9" width="14.5703125" style="35" customWidth="1"/>
    <col min="10" max="10" width="26.85546875" style="35" customWidth="1"/>
    <col min="11" max="11" width="50" style="35" customWidth="1"/>
    <col min="12" max="12" width="52.42578125" style="35" customWidth="1"/>
    <col min="13" max="13" width="10.7109375" style="35" customWidth="1"/>
    <col min="14" max="14" width="55.140625" style="35" customWidth="1"/>
    <col min="15" max="15" width="31.85546875" style="35" customWidth="1"/>
    <col min="16" max="16" width="23.85546875" style="35" customWidth="1"/>
    <col min="17" max="17" width="46.5703125" style="35" customWidth="1"/>
    <col min="18" max="18" width="24" style="35" customWidth="1"/>
    <col min="19" max="19" width="20.5703125" style="35" customWidth="1"/>
    <col min="20" max="20" width="22" style="35" customWidth="1"/>
    <col min="21" max="22" width="26.42578125" style="35" customWidth="1"/>
    <col min="23" max="23" width="8.28515625" style="35" hidden="1" customWidth="1"/>
    <col min="24" max="24" width="59.7109375" style="35" customWidth="1"/>
    <col min="25" max="25" width="49.140625" style="35" customWidth="1"/>
    <col min="26" max="26" width="11.140625" style="35" customWidth="1"/>
    <col min="27" max="30" width="29" style="35" customWidth="1"/>
    <col min="31" max="31" width="9.140625" style="35"/>
    <col min="32" max="32" width="34.7109375" style="35" customWidth="1"/>
    <col min="33" max="33" width="9.140625" style="35"/>
    <col min="34" max="35" width="34.42578125" style="35" customWidth="1"/>
    <col min="36" max="36" width="9.140625" style="35"/>
    <col min="37" max="37" width="24.5703125" style="35" customWidth="1"/>
    <col min="38" max="38" width="9.140625" style="35"/>
    <col min="39" max="39" width="26.140625" style="35" customWidth="1"/>
    <col min="40" max="40" width="1.7109375" style="35" customWidth="1"/>
    <col min="41" max="41" width="9.140625" style="35"/>
    <col min="42" max="43" width="47.85546875" style="35" customWidth="1"/>
    <col min="44" max="44" width="1.7109375" style="35" customWidth="1"/>
    <col min="45" max="45" width="21.42578125" style="35" customWidth="1"/>
    <col min="46" max="46" width="1.7109375" style="35" customWidth="1"/>
    <col min="47" max="47" width="31.28515625" style="35" customWidth="1"/>
    <col min="48" max="48" width="1.7109375" style="35" customWidth="1"/>
    <col min="49" max="50" width="9.140625" style="35"/>
    <col min="51" max="51" width="3.7109375" style="35" customWidth="1"/>
    <col min="52" max="52" width="60.85546875" style="35" customWidth="1"/>
    <col min="53" max="53" width="49.28515625" style="35" customWidth="1"/>
    <col min="54" max="54" width="35.140625" style="35" customWidth="1"/>
    <col min="55" max="55" width="9.140625" style="35"/>
    <col min="56" max="56" width="1.7109375" style="35" customWidth="1"/>
    <col min="57" max="57" width="12.5703125" style="615" customWidth="1"/>
    <col min="58" max="58" width="14.28515625" style="615" customWidth="1"/>
    <col min="59" max="59" width="30.7109375" style="35" customWidth="1"/>
    <col min="60" max="60" width="40.7109375" style="186" customWidth="1"/>
    <col min="61" max="61" width="15" style="186" customWidth="1"/>
    <col min="62" max="62" width="40.7109375" style="186" customWidth="1"/>
    <col min="63" max="63" width="2.7109375" style="186" customWidth="1"/>
    <col min="64" max="64" width="44.7109375" style="186" customWidth="1"/>
    <col min="65" max="65" width="2.7109375" style="186" customWidth="1"/>
    <col min="66" max="66" width="40.7109375" style="186" customWidth="1"/>
    <col min="67" max="68" width="9.140625" style="35"/>
    <col min="69" max="69" width="18.140625" style="35" customWidth="1"/>
    <col min="70" max="70" width="57.85546875" style="35" customWidth="1"/>
    <col min="71" max="71" width="1.7109375" style="35" customWidth="1"/>
    <col min="72" max="72" width="22.5703125" style="35" customWidth="1"/>
    <col min="73" max="73" width="57.85546875" style="35" customWidth="1"/>
    <col min="74" max="74" width="1.7109375" style="35" customWidth="1"/>
    <col min="75" max="75" width="22.5703125" style="35" customWidth="1"/>
    <col min="76" max="76" width="57.85546875" style="35" customWidth="1"/>
    <col min="77" max="77" width="1.7109375" style="35" customWidth="1"/>
    <col min="78" max="78" width="22.5703125" style="35" customWidth="1"/>
    <col min="79" max="79" width="57.85546875" style="35" customWidth="1"/>
    <col min="80" max="81" width="9.140625" style="35"/>
    <col min="82" max="82" width="49.5703125" style="35" customWidth="1"/>
  </cols>
  <sheetData>
    <row r="1" spans="1:79" s="54" customFormat="1" ht="11.25" customHeight="1">
      <c r="A1" s="616" t="s">
        <v>1140</v>
      </c>
      <c r="B1" s="616" t="s">
        <v>1141</v>
      </c>
      <c r="C1" s="616" t="s">
        <v>1142</v>
      </c>
      <c r="D1" s="616" t="s">
        <v>1143</v>
      </c>
      <c r="E1" s="616" t="s">
        <v>1144</v>
      </c>
      <c r="F1" s="616" t="s">
        <v>1145</v>
      </c>
      <c r="G1" s="616" t="s">
        <v>1146</v>
      </c>
      <c r="H1" s="616" t="s">
        <v>1147</v>
      </c>
      <c r="I1" s="616" t="s">
        <v>1148</v>
      </c>
      <c r="J1" s="616" t="s">
        <v>1149</v>
      </c>
      <c r="K1" s="616" t="s">
        <v>1150</v>
      </c>
      <c r="L1" s="616" t="s">
        <v>1151</v>
      </c>
      <c r="M1" s="616"/>
      <c r="N1" s="616" t="s">
        <v>1152</v>
      </c>
      <c r="O1" s="616" t="s">
        <v>1153</v>
      </c>
      <c r="P1" s="616" t="s">
        <v>1154</v>
      </c>
      <c r="Q1" s="616" t="s">
        <v>1155</v>
      </c>
      <c r="R1" s="616" t="s">
        <v>1156</v>
      </c>
      <c r="S1" s="616" t="s">
        <v>1157</v>
      </c>
      <c r="T1" s="616" t="s">
        <v>1158</v>
      </c>
      <c r="U1" s="616" t="s">
        <v>1159</v>
      </c>
      <c r="V1" s="616"/>
      <c r="W1" s="450" t="s">
        <v>1160</v>
      </c>
      <c r="X1" s="616" t="s">
        <v>1161</v>
      </c>
      <c r="Y1" s="616" t="s">
        <v>1162</v>
      </c>
      <c r="Z1" s="616"/>
      <c r="AA1" s="616" t="s">
        <v>1163</v>
      </c>
      <c r="AB1" s="616"/>
      <c r="AC1" s="616" t="s">
        <v>1164</v>
      </c>
      <c r="AD1" s="616"/>
      <c r="AF1" s="616" t="s">
        <v>1165</v>
      </c>
      <c r="AH1" s="616" t="s">
        <v>1166</v>
      </c>
      <c r="AI1" s="616" t="s">
        <v>1167</v>
      </c>
      <c r="AK1" s="616" t="s">
        <v>1168</v>
      </c>
      <c r="AM1" s="616" t="s">
        <v>1169</v>
      </c>
      <c r="AP1" s="616" t="s">
        <v>1170</v>
      </c>
      <c r="AQ1" s="616" t="s">
        <v>1171</v>
      </c>
      <c r="AS1" s="616" t="s">
        <v>1172</v>
      </c>
      <c r="AU1" s="616" t="s">
        <v>1173</v>
      </c>
      <c r="AW1" s="616" t="s">
        <v>1174</v>
      </c>
      <c r="AX1" s="616" t="s">
        <v>1175</v>
      </c>
      <c r="AZ1" s="658" t="s">
        <v>1176</v>
      </c>
      <c r="BB1" s="616" t="s">
        <v>1177</v>
      </c>
      <c r="BC1" s="616"/>
      <c r="BE1" s="616" t="s">
        <v>1178</v>
      </c>
      <c r="BF1" s="616" t="s">
        <v>1179</v>
      </c>
      <c r="BH1" s="618" t="s">
        <v>723</v>
      </c>
      <c r="BI1" s="186"/>
      <c r="BJ1" s="619" t="s">
        <v>1180</v>
      </c>
      <c r="BK1" s="186"/>
      <c r="BL1" s="620" t="s">
        <v>826</v>
      </c>
      <c r="BM1" s="186"/>
      <c r="BN1" s="621" t="s">
        <v>1181</v>
      </c>
    </row>
    <row r="2" spans="1:79" ht="11.25" customHeight="1">
      <c r="A2" s="35" t="s">
        <v>1182</v>
      </c>
      <c r="B2" s="622">
        <v>2000</v>
      </c>
      <c r="C2" s="622">
        <v>2022</v>
      </c>
      <c r="D2" s="622" t="s">
        <v>62</v>
      </c>
      <c r="E2" s="623" t="s">
        <v>1183</v>
      </c>
      <c r="F2" s="623" t="s">
        <v>1184</v>
      </c>
      <c r="G2" s="623" t="s">
        <v>1185</v>
      </c>
      <c r="H2" s="623" t="s">
        <v>50</v>
      </c>
      <c r="I2" s="623" t="s">
        <v>105</v>
      </c>
      <c r="J2" s="623" t="s">
        <v>1186</v>
      </c>
      <c r="K2" s="173" t="s">
        <v>1187</v>
      </c>
      <c r="L2" s="173"/>
      <c r="M2" s="173">
        <v>1</v>
      </c>
      <c r="N2" s="660" t="s">
        <v>1188</v>
      </c>
      <c r="O2" s="623" t="s">
        <v>1189</v>
      </c>
      <c r="P2" s="624" t="s">
        <v>33</v>
      </c>
      <c r="Q2" s="625" t="s">
        <v>1190</v>
      </c>
      <c r="R2" s="61" t="s">
        <v>1191</v>
      </c>
      <c r="S2" s="61" t="s">
        <v>1192</v>
      </c>
      <c r="T2" s="626" t="s">
        <v>1193</v>
      </c>
      <c r="U2" s="173" t="s">
        <v>1194</v>
      </c>
      <c r="V2" s="627">
        <v>1</v>
      </c>
      <c r="W2" s="628"/>
      <c r="X2" s="628" t="s">
        <v>1195</v>
      </c>
      <c r="Y2" s="622" t="s">
        <v>1196</v>
      </c>
      <c r="Z2" s="629"/>
      <c r="AA2" s="622" t="s">
        <v>1197</v>
      </c>
      <c r="AB2" s="630" t="s">
        <v>1197</v>
      </c>
      <c r="AC2" s="622" t="s">
        <v>1198</v>
      </c>
      <c r="AD2" s="630" t="s">
        <v>1198</v>
      </c>
      <c r="AF2" s="623" t="s">
        <v>1194</v>
      </c>
      <c r="AH2" s="623" t="s">
        <v>1199</v>
      </c>
      <c r="AI2" s="623" t="s">
        <v>1199</v>
      </c>
      <c r="AK2" s="623" t="s">
        <v>1200</v>
      </c>
      <c r="AM2" s="623" t="s">
        <v>1201</v>
      </c>
      <c r="AP2" s="33" t="s">
        <v>1195</v>
      </c>
      <c r="AQ2" s="631" t="s">
        <v>1195</v>
      </c>
      <c r="AS2" s="622" t="s">
        <v>1202</v>
      </c>
      <c r="AU2" s="653" t="s">
        <v>1203</v>
      </c>
      <c r="AW2" s="653" t="s">
        <v>1204</v>
      </c>
      <c r="AX2" s="653" t="s">
        <v>1204</v>
      </c>
      <c r="AZ2" s="653" t="s">
        <v>48</v>
      </c>
      <c r="BB2" s="653" t="s">
        <v>1205</v>
      </c>
      <c r="BC2" s="653" t="s">
        <v>1206</v>
      </c>
      <c r="BE2" s="653">
        <v>2000</v>
      </c>
      <c r="BF2" s="653" t="s">
        <v>1207</v>
      </c>
    </row>
    <row r="3" spans="1:79" ht="11.25" customHeight="1">
      <c r="A3" s="35" t="s">
        <v>1208</v>
      </c>
      <c r="B3" s="622">
        <v>2001</v>
      </c>
      <c r="C3" s="622">
        <v>2023</v>
      </c>
      <c r="D3" s="622" t="s">
        <v>52</v>
      </c>
      <c r="E3" s="623" t="s">
        <v>1209</v>
      </c>
      <c r="F3" s="623" t="s">
        <v>1210</v>
      </c>
      <c r="G3" s="623" t="s">
        <v>1211</v>
      </c>
      <c r="H3" s="623" t="s">
        <v>1212</v>
      </c>
      <c r="I3" s="623" t="s">
        <v>106</v>
      </c>
      <c r="J3" s="623" t="s">
        <v>555</v>
      </c>
      <c r="K3" s="173" t="s">
        <v>1213</v>
      </c>
      <c r="L3" s="173">
        <f>IFERROR(MATCH(K3,OFFER_METHOD,0),0)</f>
        <v>0</v>
      </c>
      <c r="M3" s="173">
        <v>2</v>
      </c>
      <c r="N3" s="660" t="s">
        <v>1214</v>
      </c>
      <c r="O3" s="623" t="s">
        <v>1215</v>
      </c>
      <c r="P3" s="624" t="s">
        <v>1216</v>
      </c>
      <c r="Q3" s="625" t="s">
        <v>1217</v>
      </c>
      <c r="R3" s="61" t="s">
        <v>1218</v>
      </c>
      <c r="S3" s="61" t="s">
        <v>1219</v>
      </c>
      <c r="T3" s="626" t="s">
        <v>1220</v>
      </c>
      <c r="U3" s="173" t="s">
        <v>1221</v>
      </c>
      <c r="V3" s="627">
        <v>2</v>
      </c>
      <c r="W3" s="628"/>
      <c r="X3" s="628" t="s">
        <v>1222</v>
      </c>
      <c r="Y3" s="622" t="s">
        <v>1196</v>
      </c>
      <c r="Z3" s="629"/>
      <c r="AA3" s="622" t="s">
        <v>1223</v>
      </c>
      <c r="AB3" s="630" t="s">
        <v>1223</v>
      </c>
      <c r="AC3" s="622" t="s">
        <v>1224</v>
      </c>
      <c r="AD3" s="630" t="s">
        <v>1224</v>
      </c>
      <c r="AF3" s="623" t="s">
        <v>1221</v>
      </c>
      <c r="AH3" s="623" t="s">
        <v>1225</v>
      </c>
      <c r="AI3" s="623" t="s">
        <v>1226</v>
      </c>
      <c r="AK3" s="623" t="s">
        <v>1227</v>
      </c>
      <c r="AM3" s="623" t="s">
        <v>1228</v>
      </c>
      <c r="AP3" s="33" t="s">
        <v>1229</v>
      </c>
      <c r="AQ3" s="631" t="s">
        <v>1229</v>
      </c>
      <c r="AS3" s="622" t="s">
        <v>1230</v>
      </c>
      <c r="AU3" s="653" t="s">
        <v>1231</v>
      </c>
      <c r="AW3" s="653" t="s">
        <v>1232</v>
      </c>
      <c r="AX3" s="653" t="s">
        <v>1232</v>
      </c>
      <c r="AZ3" s="653" t="s">
        <v>1233</v>
      </c>
      <c r="BB3" s="653" t="s">
        <v>1234</v>
      </c>
      <c r="BC3" s="653" t="s">
        <v>1206</v>
      </c>
      <c r="BE3" s="653">
        <v>2001</v>
      </c>
      <c r="BF3" s="653" t="s">
        <v>978</v>
      </c>
      <c r="BH3" s="616" t="s">
        <v>1235</v>
      </c>
      <c r="BJ3" s="616" t="s">
        <v>1236</v>
      </c>
      <c r="BL3" s="616" t="s">
        <v>1237</v>
      </c>
      <c r="BN3" s="616" t="s">
        <v>1238</v>
      </c>
      <c r="BR3" s="616" t="s">
        <v>1239</v>
      </c>
      <c r="BS3" s="795"/>
      <c r="BT3" s="186"/>
      <c r="BU3" s="616" t="s">
        <v>1240</v>
      </c>
      <c r="BV3" s="186"/>
      <c r="BW3"/>
      <c r="BX3" s="616" t="s">
        <v>1241</v>
      </c>
      <c r="CA3" s="616" t="s">
        <v>1242</v>
      </c>
    </row>
    <row r="4" spans="1:79" ht="11.25" customHeight="1">
      <c r="A4" s="35" t="s">
        <v>1243</v>
      </c>
      <c r="B4" s="622">
        <v>2002</v>
      </c>
      <c r="C4" s="622">
        <v>2024</v>
      </c>
      <c r="E4" s="623" t="s">
        <v>1244</v>
      </c>
      <c r="F4" s="623" t="s">
        <v>1245</v>
      </c>
      <c r="H4" s="623" t="s">
        <v>1246</v>
      </c>
      <c r="I4" s="623" t="s">
        <v>86</v>
      </c>
      <c r="J4" s="623" t="s">
        <v>1247</v>
      </c>
      <c r="K4" s="173" t="s">
        <v>1248</v>
      </c>
      <c r="L4" s="173">
        <f>IFERROR(MATCH(K4,OFFER_METHOD,0),0)</f>
        <v>0</v>
      </c>
      <c r="M4" s="173">
        <v>3</v>
      </c>
      <c r="N4" s="660" t="s">
        <v>1249</v>
      </c>
      <c r="O4" s="623" t="s">
        <v>1250</v>
      </c>
      <c r="Q4" s="625" t="s">
        <v>1251</v>
      </c>
      <c r="R4" s="61" t="s">
        <v>1252</v>
      </c>
      <c r="S4" s="61" t="s">
        <v>1253</v>
      </c>
      <c r="T4" s="626" t="s">
        <v>1254</v>
      </c>
      <c r="U4" s="173" t="s">
        <v>1255</v>
      </c>
      <c r="V4" s="627">
        <v>3</v>
      </c>
      <c r="W4" s="628"/>
      <c r="X4" s="628" t="s">
        <v>1256</v>
      </c>
      <c r="Y4" s="622" t="s">
        <v>1196</v>
      </c>
      <c r="Z4" s="18"/>
      <c r="AC4" s="622" t="s">
        <v>1257</v>
      </c>
      <c r="AD4" s="630" t="s">
        <v>1257</v>
      </c>
      <c r="AF4" s="623" t="s">
        <v>1255</v>
      </c>
      <c r="AH4" s="623" t="s">
        <v>1258</v>
      </c>
      <c r="AK4" s="623" t="s">
        <v>1259</v>
      </c>
      <c r="AM4" s="623" t="s">
        <v>1260</v>
      </c>
      <c r="AP4" s="33" t="s">
        <v>1222</v>
      </c>
      <c r="AQ4" s="631" t="s">
        <v>1222</v>
      </c>
      <c r="AS4" s="622" t="s">
        <v>1261</v>
      </c>
      <c r="AU4" s="653" t="s">
        <v>1262</v>
      </c>
      <c r="AW4" s="653" t="s">
        <v>1263</v>
      </c>
      <c r="AX4" s="653" t="s">
        <v>1263</v>
      </c>
      <c r="AZ4" s="653" t="s">
        <v>1264</v>
      </c>
      <c r="BB4" s="653" t="s">
        <v>1265</v>
      </c>
      <c r="BC4" s="653" t="s">
        <v>1266</v>
      </c>
      <c r="BE4" s="653">
        <v>2002</v>
      </c>
      <c r="BF4" s="653" t="s">
        <v>1267</v>
      </c>
      <c r="BH4" s="617" t="s">
        <v>1268</v>
      </c>
      <c r="BJ4" s="617" t="s">
        <v>1268</v>
      </c>
      <c r="BL4" s="617" t="s">
        <v>1268</v>
      </c>
      <c r="BN4" s="617" t="s">
        <v>1268</v>
      </c>
      <c r="BQ4" s="797" t="s">
        <v>1269</v>
      </c>
      <c r="BR4" s="33" t="s">
        <v>1270</v>
      </c>
      <c r="BS4" s="33"/>
      <c r="BT4" s="797" t="s">
        <v>1271</v>
      </c>
      <c r="BU4" s="33" t="s">
        <v>1272</v>
      </c>
      <c r="BV4" s="186"/>
      <c r="BW4" s="797" t="s">
        <v>1273</v>
      </c>
      <c r="BX4" s="33" t="s">
        <v>1274</v>
      </c>
      <c r="BZ4" s="797" t="s">
        <v>1275</v>
      </c>
      <c r="CA4" s="33" t="s">
        <v>1276</v>
      </c>
    </row>
    <row r="5" spans="1:79" ht="11.25" customHeight="1">
      <c r="A5" s="35" t="s">
        <v>1277</v>
      </c>
      <c r="B5" s="622">
        <v>2003</v>
      </c>
      <c r="C5" s="622">
        <v>2025</v>
      </c>
      <c r="E5" s="623" t="s">
        <v>1278</v>
      </c>
      <c r="F5" s="623" t="s">
        <v>1279</v>
      </c>
      <c r="H5" s="623" t="s">
        <v>1280</v>
      </c>
      <c r="I5" s="623" t="s">
        <v>87</v>
      </c>
      <c r="K5" s="173" t="s">
        <v>1281</v>
      </c>
      <c r="L5" s="173">
        <f>IFERROR(MATCH(K5,OFFER_METHOD,0),0)</f>
        <v>0</v>
      </c>
      <c r="M5" s="173">
        <v>4</v>
      </c>
      <c r="N5" s="633" t="s">
        <v>1282</v>
      </c>
      <c r="O5" s="623" t="s">
        <v>1283</v>
      </c>
      <c r="Q5" s="625" t="s">
        <v>1284</v>
      </c>
      <c r="R5" s="61" t="s">
        <v>1285</v>
      </c>
      <c r="T5" s="623" t="s">
        <v>1286</v>
      </c>
      <c r="U5" s="173" t="s">
        <v>1287</v>
      </c>
      <c r="V5" s="627">
        <v>4</v>
      </c>
      <c r="W5" s="628"/>
      <c r="X5" s="628" t="s">
        <v>167</v>
      </c>
      <c r="Y5" s="622" t="s">
        <v>1288</v>
      </c>
      <c r="Z5" s="18">
        <v>1</v>
      </c>
      <c r="AF5" s="623" t="s">
        <v>1289</v>
      </c>
      <c r="AH5" s="623" t="s">
        <v>1290</v>
      </c>
      <c r="AK5" s="623" t="s">
        <v>1291</v>
      </c>
      <c r="AM5" s="623" t="s">
        <v>1292</v>
      </c>
      <c r="AP5" s="33" t="s">
        <v>167</v>
      </c>
      <c r="AQ5" s="631" t="s">
        <v>167</v>
      </c>
      <c r="AU5" s="653" t="s">
        <v>1293</v>
      </c>
      <c r="AW5" s="653" t="s">
        <v>1294</v>
      </c>
      <c r="AX5" s="653" t="s">
        <v>1294</v>
      </c>
      <c r="AZ5" s="653" t="s">
        <v>1295</v>
      </c>
      <c r="BB5" s="653" t="s">
        <v>1296</v>
      </c>
      <c r="BC5" s="653" t="s">
        <v>1297</v>
      </c>
      <c r="BE5" s="653">
        <v>2003</v>
      </c>
      <c r="BF5" s="653" t="s">
        <v>1298</v>
      </c>
      <c r="BH5" s="617" t="s">
        <v>966</v>
      </c>
      <c r="BJ5" s="617" t="s">
        <v>966</v>
      </c>
      <c r="BL5" s="617" t="s">
        <v>966</v>
      </c>
      <c r="BN5" s="617" t="s">
        <v>1299</v>
      </c>
      <c r="BQ5" s="653">
        <v>4213775</v>
      </c>
      <c r="BR5" s="617" t="s">
        <v>1195</v>
      </c>
      <c r="BS5" s="730"/>
      <c r="BT5" s="653">
        <v>64236871</v>
      </c>
      <c r="BU5" s="617" t="s">
        <v>228</v>
      </c>
      <c r="BV5" s="186"/>
      <c r="BW5" s="653">
        <v>4213767</v>
      </c>
      <c r="BX5" s="617" t="s">
        <v>1300</v>
      </c>
      <c r="BZ5" s="653">
        <v>64237509</v>
      </c>
      <c r="CA5" s="735" t="s">
        <v>1301</v>
      </c>
    </row>
    <row r="6" spans="1:79" ht="11.25" customHeight="1">
      <c r="A6" s="35" t="s">
        <v>1302</v>
      </c>
      <c r="B6" s="622">
        <v>2004</v>
      </c>
      <c r="C6" s="622">
        <v>2026</v>
      </c>
      <c r="E6" s="623" t="s">
        <v>1303</v>
      </c>
      <c r="F6" s="36"/>
      <c r="H6" s="623" t="s">
        <v>1304</v>
      </c>
      <c r="I6" s="623" t="s">
        <v>107</v>
      </c>
      <c r="J6" s="616" t="s">
        <v>1305</v>
      </c>
      <c r="L6" s="173">
        <f>SUM(kind_of_control_method_filter)</f>
        <v>0</v>
      </c>
      <c r="N6" s="633" t="s">
        <v>1306</v>
      </c>
      <c r="O6" s="623" t="s">
        <v>1307</v>
      </c>
      <c r="R6" s="61" t="s">
        <v>1190</v>
      </c>
      <c r="T6" s="623" t="s">
        <v>1308</v>
      </c>
      <c r="U6" s="173" t="s">
        <v>1289</v>
      </c>
      <c r="V6" s="627">
        <v>5</v>
      </c>
      <c r="W6" s="628"/>
      <c r="X6" s="622" t="s">
        <v>173</v>
      </c>
      <c r="Y6" s="622" t="s">
        <v>1309</v>
      </c>
      <c r="Z6" s="18"/>
      <c r="AA6" s="195"/>
      <c r="AH6" s="623" t="s">
        <v>1310</v>
      </c>
      <c r="AK6" s="623" t="s">
        <v>1311</v>
      </c>
      <c r="AM6" s="623" t="s">
        <v>1312</v>
      </c>
      <c r="AP6" s="33" t="s">
        <v>173</v>
      </c>
      <c r="AQ6" s="631" t="s">
        <v>173</v>
      </c>
      <c r="AU6" s="653" t="s">
        <v>1313</v>
      </c>
      <c r="AW6" s="653" t="s">
        <v>1314</v>
      </c>
      <c r="AX6" s="653" t="s">
        <v>1314</v>
      </c>
      <c r="BB6" s="653" t="s">
        <v>1315</v>
      </c>
      <c r="BC6" s="653" t="s">
        <v>1297</v>
      </c>
      <c r="BE6" s="653">
        <v>2004</v>
      </c>
      <c r="BF6" s="653" t="s">
        <v>1316</v>
      </c>
      <c r="BH6" s="617" t="s">
        <v>1317</v>
      </c>
      <c r="BJ6" s="617" t="s">
        <v>1318</v>
      </c>
      <c r="BL6" s="617" t="s">
        <v>1318</v>
      </c>
      <c r="BN6" s="617" t="s">
        <v>1319</v>
      </c>
      <c r="BQ6" s="653">
        <v>4213784</v>
      </c>
      <c r="BR6" s="735" t="s">
        <v>1229</v>
      </c>
      <c r="BS6" s="796"/>
      <c r="BT6" s="653">
        <v>64236872</v>
      </c>
      <c r="BU6" s="617" t="s">
        <v>233</v>
      </c>
      <c r="BV6" s="186"/>
      <c r="BW6" s="653">
        <v>4213768</v>
      </c>
      <c r="BX6" s="617" t="s">
        <v>253</v>
      </c>
      <c r="BZ6" s="653">
        <v>64237510</v>
      </c>
      <c r="CA6" s="617" t="s">
        <v>1320</v>
      </c>
    </row>
    <row r="7" spans="1:79" ht="11.25" customHeight="1">
      <c r="A7" s="35" t="s">
        <v>1321</v>
      </c>
      <c r="B7" s="622">
        <v>2005</v>
      </c>
      <c r="E7" s="623" t="s">
        <v>1322</v>
      </c>
      <c r="F7" s="36"/>
      <c r="H7" s="623" t="s">
        <v>1323</v>
      </c>
      <c r="I7" s="623" t="s">
        <v>88</v>
      </c>
      <c r="J7" s="623" t="s">
        <v>1324</v>
      </c>
      <c r="N7" s="429" t="s">
        <v>1325</v>
      </c>
      <c r="O7" s="623" t="s">
        <v>1326</v>
      </c>
      <c r="U7" s="173" t="s">
        <v>52</v>
      </c>
      <c r="V7" s="212" t="s">
        <v>88</v>
      </c>
      <c r="W7" s="628"/>
      <c r="X7" s="622" t="s">
        <v>179</v>
      </c>
      <c r="Y7" s="622" t="s">
        <v>1288</v>
      </c>
      <c r="Z7" s="18"/>
      <c r="AA7" s="195"/>
      <c r="AH7" s="623" t="s">
        <v>1327</v>
      </c>
      <c r="AK7" s="623" t="s">
        <v>1328</v>
      </c>
      <c r="AM7" s="623" t="s">
        <v>1329</v>
      </c>
      <c r="AP7" s="33" t="s">
        <v>179</v>
      </c>
      <c r="AQ7" s="631" t="s">
        <v>179</v>
      </c>
      <c r="AU7" s="653" t="s">
        <v>1330</v>
      </c>
      <c r="AW7" s="653" t="s">
        <v>1331</v>
      </c>
      <c r="AX7" s="653" t="s">
        <v>1331</v>
      </c>
      <c r="AZ7" s="616" t="s">
        <v>1332</v>
      </c>
      <c r="BB7" s="653" t="s">
        <v>1333</v>
      </c>
      <c r="BC7" s="653" t="s">
        <v>1297</v>
      </c>
      <c r="BE7" s="653">
        <v>2005</v>
      </c>
      <c r="BF7" s="653" t="s">
        <v>980</v>
      </c>
      <c r="BH7" s="617" t="s">
        <v>1334</v>
      </c>
      <c r="BJ7" s="617" t="s">
        <v>1317</v>
      </c>
      <c r="BL7" s="617" t="s">
        <v>1317</v>
      </c>
      <c r="BN7" s="617" t="s">
        <v>1335</v>
      </c>
      <c r="BQ7" s="653">
        <v>4213781</v>
      </c>
      <c r="BR7" s="617" t="s">
        <v>1222</v>
      </c>
      <c r="BS7" s="730"/>
      <c r="BT7" s="653">
        <v>64236873</v>
      </c>
      <c r="BU7" s="617" t="s">
        <v>238</v>
      </c>
      <c r="BV7" s="186"/>
      <c r="BW7" s="653">
        <v>4213769</v>
      </c>
      <c r="BX7" s="617" t="s">
        <v>1336</v>
      </c>
      <c r="BZ7" s="653">
        <v>64237511</v>
      </c>
      <c r="CA7" s="617" t="s">
        <v>268</v>
      </c>
    </row>
    <row r="8" spans="1:79" ht="11.25" customHeight="1">
      <c r="A8" s="35" t="s">
        <v>1337</v>
      </c>
      <c r="B8" s="622">
        <v>2006</v>
      </c>
      <c r="E8" s="623" t="s">
        <v>1338</v>
      </c>
      <c r="F8" s="36"/>
      <c r="H8" s="623" t="s">
        <v>1339</v>
      </c>
      <c r="I8" s="623" t="s">
        <v>89</v>
      </c>
      <c r="J8" s="623" t="s">
        <v>1340</v>
      </c>
      <c r="N8" s="661" t="s">
        <v>1341</v>
      </c>
      <c r="O8" s="623" t="s">
        <v>1342</v>
      </c>
      <c r="V8" s="212" t="s">
        <v>89</v>
      </c>
      <c r="W8" s="628"/>
      <c r="X8" s="622" t="s">
        <v>185</v>
      </c>
      <c r="Y8" s="622" t="s">
        <v>1288</v>
      </c>
      <c r="Z8" s="18"/>
      <c r="AA8" s="195"/>
      <c r="AK8" s="623" t="s">
        <v>1343</v>
      </c>
      <c r="AP8" s="33" t="s">
        <v>185</v>
      </c>
      <c r="AQ8" s="631" t="s">
        <v>185</v>
      </c>
      <c r="AU8" s="653" t="s">
        <v>1344</v>
      </c>
      <c r="AW8" s="653" t="s">
        <v>1345</v>
      </c>
      <c r="AX8" s="653" t="s">
        <v>1345</v>
      </c>
      <c r="AZ8" s="653" t="s">
        <v>64</v>
      </c>
      <c r="BB8" s="653" t="s">
        <v>1346</v>
      </c>
      <c r="BC8" s="653" t="s">
        <v>1297</v>
      </c>
      <c r="BE8" s="653">
        <v>2006</v>
      </c>
      <c r="BF8" s="653" t="s">
        <v>1347</v>
      </c>
      <c r="BH8" s="617" t="s">
        <v>951</v>
      </c>
      <c r="BJ8" s="617" t="s">
        <v>1348</v>
      </c>
      <c r="BL8" s="617" t="s">
        <v>1348</v>
      </c>
      <c r="BN8" s="617" t="s">
        <v>1349</v>
      </c>
      <c r="BQ8" s="653">
        <v>4213776</v>
      </c>
      <c r="BR8" s="617" t="s">
        <v>167</v>
      </c>
      <c r="BS8" s="730"/>
      <c r="BT8" s="653">
        <v>64236874</v>
      </c>
      <c r="BU8" s="735" t="s">
        <v>1350</v>
      </c>
      <c r="BV8" s="186"/>
      <c r="BW8" s="653">
        <v>4213770</v>
      </c>
      <c r="BX8" s="735" t="s">
        <v>1351</v>
      </c>
      <c r="BZ8" s="653">
        <v>64237512</v>
      </c>
      <c r="CA8" s="617" t="s">
        <v>263</v>
      </c>
    </row>
    <row r="9" spans="1:79" ht="11.25" customHeight="1">
      <c r="A9" s="35" t="s">
        <v>1352</v>
      </c>
      <c r="B9" s="622">
        <v>2007</v>
      </c>
      <c r="E9" s="623" t="s">
        <v>1353</v>
      </c>
      <c r="F9" s="36"/>
      <c r="G9" s="616" t="s">
        <v>1354</v>
      </c>
      <c r="H9" s="616" t="s">
        <v>1355</v>
      </c>
      <c r="I9" s="623" t="s">
        <v>108</v>
      </c>
      <c r="O9" s="623" t="s">
        <v>1356</v>
      </c>
      <c r="V9" s="212" t="s">
        <v>108</v>
      </c>
      <c r="W9" s="628"/>
      <c r="X9" s="622" t="s">
        <v>191</v>
      </c>
      <c r="Y9" s="622" t="s">
        <v>1196</v>
      </c>
      <c r="Z9" s="18">
        <v>1</v>
      </c>
      <c r="AA9" s="195"/>
      <c r="AK9" s="623" t="s">
        <v>1357</v>
      </c>
      <c r="AP9" s="33" t="s">
        <v>1358</v>
      </c>
      <c r="AQ9" s="631" t="s">
        <v>1358</v>
      </c>
      <c r="AW9" s="653" t="s">
        <v>1359</v>
      </c>
      <c r="AX9" s="653" t="s">
        <v>1359</v>
      </c>
      <c r="AZ9" s="653" t="s">
        <v>1360</v>
      </c>
      <c r="BB9" s="653" t="s">
        <v>1361</v>
      </c>
      <c r="BC9" s="653" t="s">
        <v>1297</v>
      </c>
      <c r="BE9" s="653">
        <v>2007</v>
      </c>
      <c r="BF9" s="653" t="s">
        <v>1362</v>
      </c>
      <c r="BH9" s="617" t="s">
        <v>967</v>
      </c>
      <c r="BJ9" s="617" t="s">
        <v>1363</v>
      </c>
      <c r="BL9" s="617" t="s">
        <v>1363</v>
      </c>
      <c r="BN9" s="617" t="s">
        <v>1364</v>
      </c>
      <c r="BQ9" s="653">
        <v>4213777</v>
      </c>
      <c r="BR9" s="617" t="s">
        <v>173</v>
      </c>
      <c r="BS9" s="730"/>
      <c r="BT9" s="653">
        <v>64236875</v>
      </c>
      <c r="BU9" s="617" t="s">
        <v>243</v>
      </c>
      <c r="BV9" s="186"/>
      <c r="BW9"/>
      <c r="BX9"/>
    </row>
    <row r="10" spans="1:79" ht="11.25" customHeight="1">
      <c r="A10" s="35" t="s">
        <v>1365</v>
      </c>
      <c r="B10" s="622">
        <v>2008</v>
      </c>
      <c r="E10" s="623" t="s">
        <v>1366</v>
      </c>
      <c r="F10" s="36"/>
      <c r="G10" s="623" t="s">
        <v>1367</v>
      </c>
      <c r="H10" s="623" t="s">
        <v>1368</v>
      </c>
      <c r="I10" s="623" t="s">
        <v>149</v>
      </c>
      <c r="J10" s="616" t="s">
        <v>1369</v>
      </c>
      <c r="K10" s="616" t="s">
        <v>1370</v>
      </c>
      <c r="O10" s="623" t="s">
        <v>1371</v>
      </c>
      <c r="V10" s="213" t="s">
        <v>149</v>
      </c>
      <c r="W10" s="634"/>
      <c r="X10" s="634" t="s">
        <v>1372</v>
      </c>
      <c r="Y10" s="635" t="s">
        <v>1373</v>
      </c>
      <c r="Z10" s="18"/>
      <c r="AP10" s="33" t="s">
        <v>1372</v>
      </c>
      <c r="AQ10" s="631" t="s">
        <v>1372</v>
      </c>
      <c r="AW10" s="653" t="s">
        <v>1374</v>
      </c>
      <c r="AX10" s="653" t="s">
        <v>1374</v>
      </c>
      <c r="AZ10" s="653" t="s">
        <v>1088</v>
      </c>
      <c r="BB10" s="653" t="s">
        <v>1375</v>
      </c>
      <c r="BC10" s="653" t="s">
        <v>1297</v>
      </c>
      <c r="BE10" s="653">
        <v>2008</v>
      </c>
      <c r="BF10" s="653" t="s">
        <v>1376</v>
      </c>
      <c r="BH10" s="617" t="s">
        <v>1377</v>
      </c>
      <c r="BJ10" s="617" t="s">
        <v>1378</v>
      </c>
      <c r="BL10" s="617" t="s">
        <v>1378</v>
      </c>
      <c r="BN10" s="617" t="s">
        <v>1379</v>
      </c>
      <c r="BQ10" s="653">
        <v>4213778</v>
      </c>
      <c r="BR10" s="617" t="s">
        <v>179</v>
      </c>
      <c r="BS10" s="730"/>
      <c r="BT10" s="653">
        <v>64236876</v>
      </c>
      <c r="BU10" s="617" t="s">
        <v>223</v>
      </c>
      <c r="BV10" s="186"/>
      <c r="BW10"/>
      <c r="BX10"/>
    </row>
    <row r="11" spans="1:79" ht="11.25" customHeight="1">
      <c r="A11" s="35" t="s">
        <v>1380</v>
      </c>
      <c r="B11" s="622">
        <v>2009</v>
      </c>
      <c r="E11" s="623" t="s">
        <v>1381</v>
      </c>
      <c r="F11" s="36"/>
      <c r="G11" s="623" t="s">
        <v>1382</v>
      </c>
      <c r="H11" s="623" t="s">
        <v>1383</v>
      </c>
      <c r="I11" s="623" t="s">
        <v>150</v>
      </c>
      <c r="J11" s="623" t="s">
        <v>1384</v>
      </c>
      <c r="K11" s="636" t="s">
        <v>1385</v>
      </c>
      <c r="O11" s="623" t="s">
        <v>1386</v>
      </c>
      <c r="V11" s="212" t="s">
        <v>150</v>
      </c>
      <c r="W11" s="159"/>
      <c r="X11" s="628" t="s">
        <v>1358</v>
      </c>
      <c r="Y11" s="622" t="s">
        <v>1387</v>
      </c>
      <c r="Z11" s="18"/>
      <c r="AP11" s="33" t="s">
        <v>191</v>
      </c>
      <c r="AQ11" s="632" t="s">
        <v>191</v>
      </c>
      <c r="AW11" s="653" t="s">
        <v>1388</v>
      </c>
      <c r="AX11" s="653" t="s">
        <v>1388</v>
      </c>
      <c r="AZ11" s="653" t="s">
        <v>1389</v>
      </c>
      <c r="BB11" s="653" t="s">
        <v>1390</v>
      </c>
      <c r="BC11" s="653" t="s">
        <v>1297</v>
      </c>
      <c r="BE11" s="653">
        <v>2009</v>
      </c>
      <c r="BF11" s="653" t="s">
        <v>1391</v>
      </c>
      <c r="BH11" s="617" t="s">
        <v>1392</v>
      </c>
      <c r="BJ11" s="617" t="s">
        <v>967</v>
      </c>
      <c r="BL11" s="617" t="s">
        <v>967</v>
      </c>
      <c r="BN11" s="617" t="s">
        <v>1393</v>
      </c>
      <c r="BQ11" s="653">
        <v>4213780</v>
      </c>
      <c r="BR11" s="617" t="s">
        <v>185</v>
      </c>
      <c r="BS11" s="730"/>
      <c r="BW11"/>
      <c r="BX11"/>
    </row>
    <row r="12" spans="1:79" ht="11.25" customHeight="1">
      <c r="A12" s="35" t="s">
        <v>1394</v>
      </c>
      <c r="B12" s="622">
        <v>2010</v>
      </c>
      <c r="E12" s="623" t="s">
        <v>1395</v>
      </c>
      <c r="F12" s="36"/>
      <c r="G12" s="623" t="s">
        <v>1383</v>
      </c>
      <c r="I12" s="623" t="s">
        <v>151</v>
      </c>
      <c r="J12" s="623" t="s">
        <v>1396</v>
      </c>
      <c r="K12" s="636" t="s">
        <v>1397</v>
      </c>
      <c r="O12" s="623" t="s">
        <v>1190</v>
      </c>
      <c r="V12" s="212" t="s">
        <v>151</v>
      </c>
      <c r="W12" s="632"/>
      <c r="X12" s="628" t="s">
        <v>1398</v>
      </c>
      <c r="Y12" s="622" t="s">
        <v>1196</v>
      </c>
      <c r="AP12" s="33"/>
      <c r="AW12" s="653" t="s">
        <v>150</v>
      </c>
      <c r="AX12" s="653" t="s">
        <v>150</v>
      </c>
      <c r="AZ12" s="653" t="s">
        <v>1399</v>
      </c>
      <c r="BB12" s="653" t="s">
        <v>1400</v>
      </c>
      <c r="BC12" s="653" t="s">
        <v>1297</v>
      </c>
      <c r="BE12" s="653">
        <v>2010</v>
      </c>
      <c r="BF12" s="653" t="s">
        <v>1401</v>
      </c>
      <c r="BH12" s="617" t="s">
        <v>1402</v>
      </c>
      <c r="BJ12" s="617" t="s">
        <v>1403</v>
      </c>
      <c r="BL12" s="617" t="s">
        <v>1403</v>
      </c>
      <c r="BN12" s="617" t="s">
        <v>1404</v>
      </c>
      <c r="BQ12" s="653">
        <v>4213779</v>
      </c>
      <c r="BR12" s="617" t="s">
        <v>1358</v>
      </c>
      <c r="BS12" s="730"/>
      <c r="BT12" s="186"/>
      <c r="BU12" s="186"/>
      <c r="BV12" s="186"/>
      <c r="BW12"/>
      <c r="BX12"/>
    </row>
    <row r="13" spans="1:79" ht="11.25" customHeight="1">
      <c r="A13" s="35" t="s">
        <v>1405</v>
      </c>
      <c r="B13" s="622">
        <v>2011</v>
      </c>
      <c r="E13" s="623" t="s">
        <v>1406</v>
      </c>
      <c r="F13" s="36"/>
      <c r="I13" s="623" t="s">
        <v>152</v>
      </c>
      <c r="K13" s="636" t="s">
        <v>1357</v>
      </c>
      <c r="V13" s="212" t="s">
        <v>152</v>
      </c>
      <c r="W13" s="632"/>
      <c r="X13" s="632"/>
      <c r="Y13" s="632"/>
      <c r="AW13" s="653" t="s">
        <v>151</v>
      </c>
      <c r="AX13" s="653" t="s">
        <v>151</v>
      </c>
      <c r="BB13" s="653" t="s">
        <v>1407</v>
      </c>
      <c r="BC13" s="653" t="s">
        <v>1408</v>
      </c>
      <c r="BE13" s="653">
        <v>2011</v>
      </c>
      <c r="BF13" s="653" t="s">
        <v>949</v>
      </c>
      <c r="BH13" s="617" t="s">
        <v>1409</v>
      </c>
      <c r="BJ13" s="617" t="s">
        <v>1392</v>
      </c>
      <c r="BL13" s="617" t="s">
        <v>1392</v>
      </c>
      <c r="BN13" s="617" t="s">
        <v>1410</v>
      </c>
      <c r="BQ13" s="653">
        <v>4213783</v>
      </c>
      <c r="BR13" s="617" t="s">
        <v>1372</v>
      </c>
      <c r="BS13" s="730"/>
      <c r="BT13" s="186"/>
      <c r="BU13" s="186"/>
      <c r="BV13" s="186"/>
      <c r="BW13" s="186"/>
      <c r="BX13"/>
    </row>
    <row r="14" spans="1:79" ht="11.25" customHeight="1">
      <c r="A14" s="35" t="s">
        <v>1411</v>
      </c>
      <c r="B14" s="622">
        <v>2012</v>
      </c>
      <c r="I14" s="623" t="s">
        <v>153</v>
      </c>
      <c r="J14" s="616" t="s">
        <v>1412</v>
      </c>
      <c r="N14" s="616" t="s">
        <v>1413</v>
      </c>
      <c r="V14" s="627">
        <v>13</v>
      </c>
      <c r="W14" s="628"/>
      <c r="X14" s="628" t="s">
        <v>1229</v>
      </c>
      <c r="Y14" s="622" t="s">
        <v>1196</v>
      </c>
      <c r="AW14" s="653" t="s">
        <v>152</v>
      </c>
      <c r="AX14" s="653" t="s">
        <v>152</v>
      </c>
      <c r="AZ14" s="616" t="s">
        <v>1414</v>
      </c>
      <c r="BB14" s="653" t="s">
        <v>1415</v>
      </c>
      <c r="BC14" s="653" t="s">
        <v>1408</v>
      </c>
      <c r="BE14" s="653">
        <v>2012</v>
      </c>
      <c r="BH14" s="617" t="s">
        <v>1335</v>
      </c>
      <c r="BJ14" s="697" t="s">
        <v>1416</v>
      </c>
      <c r="BL14" s="697" t="s">
        <v>1416</v>
      </c>
      <c r="BN14" s="617" t="s">
        <v>1417</v>
      </c>
      <c r="BQ14" s="653">
        <v>4213782</v>
      </c>
      <c r="BR14" s="617" t="s">
        <v>191</v>
      </c>
      <c r="BS14" s="730"/>
      <c r="BT14" s="186"/>
      <c r="BU14" s="186"/>
      <c r="BV14" s="186"/>
      <c r="BW14" s="186"/>
      <c r="BX14"/>
    </row>
    <row r="15" spans="1:79" ht="19.5" customHeight="1">
      <c r="A15" s="35" t="s">
        <v>1418</v>
      </c>
      <c r="B15" s="622">
        <v>2013</v>
      </c>
      <c r="E15" s="898" t="s">
        <v>1419</v>
      </c>
      <c r="G15" s="616" t="s">
        <v>1420</v>
      </c>
      <c r="H15" s="616" t="s">
        <v>1421</v>
      </c>
      <c r="I15" s="173" t="s">
        <v>154</v>
      </c>
      <c r="J15" s="632" t="s">
        <v>584</v>
      </c>
      <c r="N15" s="659" t="s">
        <v>1422</v>
      </c>
      <c r="X15" s="33"/>
      <c r="AW15" s="653" t="s">
        <v>153</v>
      </c>
      <c r="AX15" s="653" t="s">
        <v>153</v>
      </c>
      <c r="AZ15" s="653" t="s">
        <v>64</v>
      </c>
      <c r="BB15" s="653" t="s">
        <v>1423</v>
      </c>
      <c r="BC15" s="653" t="s">
        <v>1408</v>
      </c>
      <c r="BE15" s="653">
        <v>2013</v>
      </c>
      <c r="BH15" s="617" t="s">
        <v>1349</v>
      </c>
      <c r="BJ15" s="697" t="s">
        <v>1424</v>
      </c>
      <c r="BL15" s="697" t="s">
        <v>1424</v>
      </c>
      <c r="BN15" s="617" t="s">
        <v>1425</v>
      </c>
      <c r="BR15" s="186"/>
      <c r="BS15" s="186"/>
      <c r="BT15" s="186"/>
      <c r="BU15" s="186"/>
      <c r="BV15" s="186"/>
      <c r="BW15" s="186"/>
      <c r="BX15"/>
    </row>
    <row r="16" spans="1:79" ht="21" customHeight="1">
      <c r="A16" s="1001" t="s">
        <v>1426</v>
      </c>
      <c r="B16" s="622">
        <v>2014</v>
      </c>
      <c r="E16" s="899" t="s">
        <v>1427</v>
      </c>
      <c r="G16" s="623" t="s">
        <v>1428</v>
      </c>
      <c r="H16" s="623" t="s">
        <v>1429</v>
      </c>
      <c r="I16" s="173" t="s">
        <v>1430</v>
      </c>
      <c r="J16" s="632" t="s">
        <v>555</v>
      </c>
      <c r="N16" s="659" t="s">
        <v>1431</v>
      </c>
      <c r="AW16" s="653" t="s">
        <v>154</v>
      </c>
      <c r="AX16" s="653" t="s">
        <v>154</v>
      </c>
      <c r="AZ16" s="653" t="s">
        <v>1360</v>
      </c>
      <c r="BB16" s="653" t="s">
        <v>1432</v>
      </c>
      <c r="BC16" s="653" t="s">
        <v>1408</v>
      </c>
      <c r="BE16" s="653">
        <v>2014</v>
      </c>
      <c r="BH16" s="617" t="s">
        <v>1364</v>
      </c>
      <c r="BJ16" s="697" t="s">
        <v>1433</v>
      </c>
      <c r="BL16" s="697" t="s">
        <v>1433</v>
      </c>
      <c r="BN16" s="617" t="s">
        <v>1434</v>
      </c>
      <c r="BR16" s="186"/>
      <c r="BS16" s="186"/>
      <c r="BT16" s="186"/>
      <c r="BU16" s="186"/>
      <c r="BV16" s="186"/>
      <c r="BW16" s="186"/>
      <c r="BX16"/>
    </row>
    <row r="17" spans="1:82" ht="21" customHeight="1">
      <c r="A17" s="35" t="s">
        <v>1435</v>
      </c>
      <c r="B17" s="622">
        <v>2015</v>
      </c>
      <c r="G17" s="623" t="s">
        <v>1383</v>
      </c>
      <c r="H17" s="623" t="s">
        <v>1383</v>
      </c>
      <c r="I17" s="623" t="s">
        <v>1436</v>
      </c>
      <c r="N17" s="659" t="s">
        <v>1437</v>
      </c>
      <c r="X17" s="33"/>
      <c r="AW17" s="653" t="s">
        <v>1430</v>
      </c>
      <c r="AX17" s="653" t="s">
        <v>1430</v>
      </c>
      <c r="AZ17" s="653" t="s">
        <v>1438</v>
      </c>
      <c r="BB17" s="653" t="s">
        <v>1439</v>
      </c>
      <c r="BC17" s="653" t="s">
        <v>1297</v>
      </c>
      <c r="BE17" s="653">
        <v>2015</v>
      </c>
      <c r="BH17" s="617" t="s">
        <v>1379</v>
      </c>
      <c r="BJ17" s="697" t="s">
        <v>1440</v>
      </c>
      <c r="BL17" s="697" t="s">
        <v>1440</v>
      </c>
      <c r="BN17" s="617" t="s">
        <v>1441</v>
      </c>
      <c r="BR17" s="616" t="s">
        <v>1239</v>
      </c>
      <c r="BS17" s="795"/>
      <c r="BU17" s="616" t="s">
        <v>1442</v>
      </c>
      <c r="BV17" s="186"/>
      <c r="BW17"/>
      <c r="BX17" s="616" t="s">
        <v>1443</v>
      </c>
      <c r="CA17" s="616" t="s">
        <v>1444</v>
      </c>
      <c r="CD17" s="616" t="s">
        <v>1445</v>
      </c>
    </row>
    <row r="18" spans="1:82" ht="21" customHeight="1">
      <c r="A18" s="35" t="s">
        <v>1446</v>
      </c>
      <c r="B18" s="622">
        <v>2016</v>
      </c>
      <c r="E18" s="1049" t="s">
        <v>1447</v>
      </c>
      <c r="I18" s="623" t="s">
        <v>1448</v>
      </c>
      <c r="N18" s="659" t="s">
        <v>1449</v>
      </c>
      <c r="X18" s="33"/>
      <c r="AW18" s="653" t="s">
        <v>1436</v>
      </c>
      <c r="AX18" s="653" t="s">
        <v>1436</v>
      </c>
      <c r="BB18" s="653" t="s">
        <v>1450</v>
      </c>
      <c r="BC18" s="653" t="s">
        <v>1297</v>
      </c>
      <c r="BE18" s="653">
        <v>2016</v>
      </c>
      <c r="BH18" s="617" t="s">
        <v>1393</v>
      </c>
      <c r="BJ18" s="697" t="s">
        <v>1451</v>
      </c>
      <c r="BL18" s="697" t="s">
        <v>1451</v>
      </c>
      <c r="BN18" s="617" t="s">
        <v>1452</v>
      </c>
      <c r="BQ18" s="797" t="s">
        <v>1269</v>
      </c>
      <c r="BR18" s="33" t="s">
        <v>1270</v>
      </c>
      <c r="BS18" s="33"/>
      <c r="BT18" s="797" t="s">
        <v>1453</v>
      </c>
      <c r="BU18" s="33" t="s">
        <v>1454</v>
      </c>
      <c r="BV18" s="186"/>
      <c r="BW18" s="797" t="s">
        <v>1455</v>
      </c>
      <c r="BX18" s="33" t="s">
        <v>1456</v>
      </c>
      <c r="BZ18" s="797" t="s">
        <v>1457</v>
      </c>
      <c r="CA18" s="33" t="s">
        <v>1458</v>
      </c>
      <c r="CC18" s="797" t="s">
        <v>1459</v>
      </c>
      <c r="CD18" s="33" t="s">
        <v>1460</v>
      </c>
    </row>
    <row r="19" spans="1:82" ht="21" customHeight="1">
      <c r="A19" s="1001" t="s">
        <v>1461</v>
      </c>
      <c r="B19" s="622">
        <v>2017</v>
      </c>
      <c r="E19" s="35" t="s">
        <v>166</v>
      </c>
      <c r="I19" s="623" t="s">
        <v>1462</v>
      </c>
      <c r="N19" s="659" t="s">
        <v>1463</v>
      </c>
      <c r="X19" s="33"/>
      <c r="AW19" s="653" t="s">
        <v>1448</v>
      </c>
      <c r="AX19" s="653" t="s">
        <v>1448</v>
      </c>
      <c r="AZ19" s="616" t="s">
        <v>1464</v>
      </c>
      <c r="BB19" s="653" t="s">
        <v>1465</v>
      </c>
      <c r="BC19" s="653" t="s">
        <v>1297</v>
      </c>
      <c r="BE19" s="653">
        <v>2017</v>
      </c>
      <c r="BH19" s="617" t="s">
        <v>1466</v>
      </c>
      <c r="BJ19" s="697" t="s">
        <v>1467</v>
      </c>
      <c r="BL19" s="697" t="s">
        <v>1467</v>
      </c>
      <c r="BQ19" s="653">
        <v>4190064</v>
      </c>
      <c r="BR19" s="617" t="s">
        <v>1468</v>
      </c>
      <c r="BS19" s="730"/>
      <c r="BT19" s="653">
        <v>4189671</v>
      </c>
      <c r="BU19" s="617" t="s">
        <v>1469</v>
      </c>
      <c r="BV19" s="186"/>
      <c r="BW19" s="653">
        <v>4189706</v>
      </c>
      <c r="BX19" s="617" t="s">
        <v>1470</v>
      </c>
      <c r="BZ19" s="653">
        <v>4189714</v>
      </c>
      <c r="CA19" s="617" t="s">
        <v>1471</v>
      </c>
      <c r="CC19" s="653">
        <v>4189708</v>
      </c>
      <c r="CD19" s="617" t="s">
        <v>1472</v>
      </c>
    </row>
    <row r="20" spans="1:82" ht="21" customHeight="1">
      <c r="A20" s="35" t="s">
        <v>1473</v>
      </c>
      <c r="B20" s="622">
        <v>2018</v>
      </c>
      <c r="E20" s="35" t="s">
        <v>1229</v>
      </c>
      <c r="I20" s="623" t="s">
        <v>1474</v>
      </c>
      <c r="N20" s="659" t="s">
        <v>1475</v>
      </c>
      <c r="AW20" s="653" t="s">
        <v>1462</v>
      </c>
      <c r="AX20" s="653" t="s">
        <v>1462</v>
      </c>
      <c r="AZ20" s="653" t="s">
        <v>1476</v>
      </c>
      <c r="BB20" s="653" t="s">
        <v>1477</v>
      </c>
      <c r="BC20" s="653" t="s">
        <v>1408</v>
      </c>
      <c r="BE20" s="653">
        <v>2018</v>
      </c>
      <c r="BH20" s="617" t="s">
        <v>1404</v>
      </c>
      <c r="BJ20" s="617" t="s">
        <v>1335</v>
      </c>
      <c r="BL20" s="617" t="s">
        <v>1335</v>
      </c>
      <c r="BQ20" s="653">
        <v>4190065</v>
      </c>
      <c r="BR20" s="617" t="s">
        <v>1478</v>
      </c>
      <c r="BS20" s="730"/>
      <c r="BT20" s="653">
        <v>4189672</v>
      </c>
      <c r="BU20" s="617" t="s">
        <v>1479</v>
      </c>
      <c r="BV20" s="186"/>
      <c r="BW20" s="653">
        <v>4189705</v>
      </c>
      <c r="BX20" s="617" t="s">
        <v>1480</v>
      </c>
      <c r="BZ20" s="653">
        <v>4189713</v>
      </c>
      <c r="CA20" s="617" t="s">
        <v>1480</v>
      </c>
      <c r="CC20" s="653">
        <v>4189709</v>
      </c>
      <c r="CD20" s="617" t="s">
        <v>1481</v>
      </c>
    </row>
    <row r="21" spans="1:82" ht="21" customHeight="1">
      <c r="A21" s="35" t="s">
        <v>1482</v>
      </c>
      <c r="B21" s="622">
        <v>2019</v>
      </c>
      <c r="I21" s="623" t="s">
        <v>1483</v>
      </c>
      <c r="N21" s="659" t="s">
        <v>1484</v>
      </c>
      <c r="AW21" s="653" t="s">
        <v>1474</v>
      </c>
      <c r="AX21" s="653" t="s">
        <v>1474</v>
      </c>
      <c r="AZ21" s="653" t="s">
        <v>1485</v>
      </c>
      <c r="BB21" s="653" t="s">
        <v>1486</v>
      </c>
      <c r="BC21" s="653" t="s">
        <v>1297</v>
      </c>
      <c r="BE21" s="653">
        <v>2019</v>
      </c>
      <c r="BH21" s="617" t="s">
        <v>1410</v>
      </c>
      <c r="BJ21" s="617" t="s">
        <v>1349</v>
      </c>
      <c r="BL21" s="617" t="s">
        <v>1349</v>
      </c>
      <c r="BQ21" s="653">
        <v>4190066</v>
      </c>
      <c r="BR21" s="617" t="s">
        <v>1487</v>
      </c>
      <c r="BS21" s="730"/>
      <c r="BT21" s="653">
        <v>4189673</v>
      </c>
      <c r="BU21" s="617" t="s">
        <v>1488</v>
      </c>
      <c r="BV21" s="186"/>
      <c r="BW21" s="653">
        <v>4189707</v>
      </c>
      <c r="BX21" s="617" t="s">
        <v>1489</v>
      </c>
      <c r="BZ21" s="653">
        <v>4189712</v>
      </c>
      <c r="CA21" s="617" t="s">
        <v>1490</v>
      </c>
      <c r="CC21" s="653">
        <v>4189710</v>
      </c>
      <c r="CD21" s="617" t="s">
        <v>1491</v>
      </c>
    </row>
    <row r="22" spans="1:82" ht="21" customHeight="1">
      <c r="A22" s="35" t="s">
        <v>1492</v>
      </c>
      <c r="B22" s="622">
        <v>2020</v>
      </c>
      <c r="N22" s="659" t="s">
        <v>1493</v>
      </c>
      <c r="AW22" s="653" t="s">
        <v>1483</v>
      </c>
      <c r="AX22" s="653" t="s">
        <v>1483</v>
      </c>
      <c r="AZ22" s="653" t="s">
        <v>1494</v>
      </c>
      <c r="BB22" s="653" t="s">
        <v>1495</v>
      </c>
      <c r="BC22" s="653" t="s">
        <v>1297</v>
      </c>
      <c r="BE22" s="653">
        <v>2020</v>
      </c>
      <c r="BH22" s="617" t="s">
        <v>1417</v>
      </c>
      <c r="BJ22" s="617" t="s">
        <v>1364</v>
      </c>
      <c r="BL22" s="617" t="s">
        <v>1364</v>
      </c>
      <c r="BQ22" s="653">
        <v>4190067</v>
      </c>
      <c r="BR22" s="617" t="s">
        <v>1496</v>
      </c>
      <c r="BS22" s="730"/>
      <c r="BT22" s="653">
        <v>4189674</v>
      </c>
      <c r="BU22" s="617" t="s">
        <v>1497</v>
      </c>
      <c r="BV22" s="186"/>
      <c r="BW22" s="186"/>
      <c r="CC22" s="653">
        <v>4189711</v>
      </c>
      <c r="CD22" s="617" t="s">
        <v>292</v>
      </c>
    </row>
    <row r="23" spans="1:82" ht="21" customHeight="1">
      <c r="A23" s="35" t="s">
        <v>1498</v>
      </c>
      <c r="B23" s="622">
        <v>2021</v>
      </c>
      <c r="AW23" s="653" t="s">
        <v>1499</v>
      </c>
      <c r="AX23" s="653" t="s">
        <v>1499</v>
      </c>
      <c r="AZ23" s="653" t="s">
        <v>1500</v>
      </c>
      <c r="BB23" s="653" t="s">
        <v>1501</v>
      </c>
      <c r="BC23" s="653" t="s">
        <v>1206</v>
      </c>
      <c r="BE23" s="653">
        <v>2021</v>
      </c>
      <c r="BH23" s="617" t="s">
        <v>1425</v>
      </c>
      <c r="BJ23" s="617" t="s">
        <v>1379</v>
      </c>
      <c r="BL23" s="617" t="s">
        <v>1379</v>
      </c>
      <c r="BQ23" s="653">
        <v>4190068</v>
      </c>
      <c r="BR23" s="617" t="s">
        <v>1502</v>
      </c>
      <c r="BS23" s="730"/>
      <c r="BT23" s="653">
        <v>4189675</v>
      </c>
      <c r="BU23" s="617" t="s">
        <v>1503</v>
      </c>
      <c r="BV23" s="186"/>
      <c r="BW23" s="186"/>
      <c r="CC23" s="653">
        <v>5110778</v>
      </c>
      <c r="CD23" s="617" t="s">
        <v>1504</v>
      </c>
    </row>
    <row r="24" spans="1:82" ht="21" customHeight="1">
      <c r="A24" s="35" t="s">
        <v>1505</v>
      </c>
      <c r="B24" s="622">
        <v>2022</v>
      </c>
      <c r="AW24" s="653" t="s">
        <v>1506</v>
      </c>
      <c r="AX24" s="653" t="s">
        <v>1506</v>
      </c>
      <c r="AZ24" s="653" t="s">
        <v>1507</v>
      </c>
      <c r="BB24" s="653" t="s">
        <v>1508</v>
      </c>
      <c r="BC24" s="653" t="s">
        <v>1509</v>
      </c>
      <c r="BE24" s="653">
        <v>2022</v>
      </c>
      <c r="BH24" s="617" t="s">
        <v>1434</v>
      </c>
      <c r="BJ24" s="617" t="s">
        <v>1393</v>
      </c>
      <c r="BL24" s="617" t="s">
        <v>1393</v>
      </c>
      <c r="BQ24" s="653">
        <v>4190069</v>
      </c>
      <c r="BR24" s="617" t="s">
        <v>1510</v>
      </c>
      <c r="BS24" s="730"/>
      <c r="BT24" s="653">
        <v>4189676</v>
      </c>
      <c r="BU24" s="617" t="s">
        <v>1511</v>
      </c>
      <c r="BV24" s="186"/>
      <c r="BW24" s="186"/>
      <c r="CC24" s="653">
        <v>25575374</v>
      </c>
      <c r="CD24" s="617" t="s">
        <v>1512</v>
      </c>
    </row>
    <row r="25" spans="1:82" ht="11.25" customHeight="1">
      <c r="A25" s="35" t="s">
        <v>1513</v>
      </c>
      <c r="B25" s="622">
        <v>2023</v>
      </c>
      <c r="AW25" s="653" t="s">
        <v>1514</v>
      </c>
      <c r="AX25" s="653" t="s">
        <v>1514</v>
      </c>
      <c r="AZ25" s="653" t="s">
        <v>906</v>
      </c>
      <c r="BB25" s="653" t="s">
        <v>1515</v>
      </c>
      <c r="BC25" s="653" t="s">
        <v>1509</v>
      </c>
      <c r="BE25" s="653">
        <v>2023</v>
      </c>
      <c r="BH25" s="617" t="s">
        <v>1441</v>
      </c>
      <c r="BJ25" s="617" t="s">
        <v>1466</v>
      </c>
      <c r="BL25" s="617" t="s">
        <v>1466</v>
      </c>
      <c r="BQ25" s="653">
        <v>4190070</v>
      </c>
      <c r="BR25" s="617" t="s">
        <v>1516</v>
      </c>
      <c r="BS25" s="730"/>
      <c r="BT25" s="653">
        <v>4189677</v>
      </c>
      <c r="BU25" s="617" t="s">
        <v>1517</v>
      </c>
      <c r="BV25" s="186"/>
      <c r="BW25" s="186"/>
    </row>
    <row r="26" spans="1:82" ht="11.25" customHeight="1">
      <c r="A26" s="35" t="s">
        <v>1518</v>
      </c>
      <c r="B26" s="622">
        <v>2024</v>
      </c>
      <c r="J26" s="930" t="s">
        <v>1519</v>
      </c>
      <c r="AX26" s="653" t="s">
        <v>1520</v>
      </c>
      <c r="AZ26" s="653" t="s">
        <v>1386</v>
      </c>
      <c r="BB26" s="653" t="s">
        <v>1521</v>
      </c>
      <c r="BC26" s="653" t="s">
        <v>1509</v>
      </c>
      <c r="BE26" s="653">
        <v>2024</v>
      </c>
      <c r="BH26" s="617" t="s">
        <v>1452</v>
      </c>
      <c r="BJ26" s="617" t="s">
        <v>1404</v>
      </c>
      <c r="BL26" s="617" t="s">
        <v>1404</v>
      </c>
      <c r="BQ26" s="653">
        <v>4190071</v>
      </c>
      <c r="BR26" s="617" t="s">
        <v>1522</v>
      </c>
      <c r="BS26" s="730"/>
      <c r="BV26" s="186"/>
      <c r="BW26" s="186"/>
    </row>
    <row r="27" spans="1:82" ht="11.25" customHeight="1">
      <c r="A27" s="35" t="s">
        <v>1523</v>
      </c>
      <c r="B27" s="622">
        <v>2025</v>
      </c>
      <c r="J27" s="86" t="s">
        <v>117</v>
      </c>
      <c r="AX27" s="653" t="s">
        <v>1524</v>
      </c>
      <c r="BB27" s="653" t="s">
        <v>1525</v>
      </c>
      <c r="BC27" s="653" t="s">
        <v>1509</v>
      </c>
      <c r="BE27" s="653">
        <v>2025</v>
      </c>
      <c r="BH27" s="186" t="s">
        <v>18</v>
      </c>
      <c r="BJ27" s="617" t="s">
        <v>1410</v>
      </c>
      <c r="BL27" s="617" t="s">
        <v>1410</v>
      </c>
      <c r="BN27" s="186" t="s">
        <v>18</v>
      </c>
      <c r="BQ27" s="653">
        <v>4190072</v>
      </c>
      <c r="BR27" s="617" t="s">
        <v>1526</v>
      </c>
      <c r="BS27" s="730"/>
      <c r="BV27" s="186"/>
      <c r="BW27" s="186"/>
    </row>
    <row r="28" spans="1:82" ht="11.25" customHeight="1">
      <c r="A28" s="35" t="s">
        <v>1527</v>
      </c>
      <c r="D28" s="35"/>
      <c r="E28" s="637"/>
      <c r="F28" s="637"/>
      <c r="H28" s="146" t="s">
        <v>1528</v>
      </c>
      <c r="AX28" s="653" t="s">
        <v>1529</v>
      </c>
      <c r="AZ28" s="616" t="s">
        <v>1530</v>
      </c>
      <c r="BB28" s="653" t="s">
        <v>1531</v>
      </c>
      <c r="BC28" s="653" t="s">
        <v>1532</v>
      </c>
      <c r="BE28" s="653">
        <v>2026</v>
      </c>
      <c r="BH28" s="186" t="s">
        <v>18</v>
      </c>
      <c r="BJ28" s="617" t="s">
        <v>1417</v>
      </c>
      <c r="BL28" s="617" t="s">
        <v>1417</v>
      </c>
      <c r="BN28" s="186" t="s">
        <v>18</v>
      </c>
      <c r="BQ28" s="653">
        <v>4190073</v>
      </c>
      <c r="BR28" s="617" t="s">
        <v>1533</v>
      </c>
      <c r="BS28" s="730"/>
      <c r="BV28" s="186"/>
      <c r="BW28" s="186"/>
    </row>
    <row r="29" spans="1:82" ht="11.25" customHeight="1">
      <c r="A29" s="35" t="s">
        <v>1534</v>
      </c>
      <c r="D29" s="638" t="s">
        <v>1535</v>
      </c>
      <c r="E29" s="639" t="str">
        <f>IF(TEMPLATE_GROUP="","",INDEX(StartDateList,MATCH(TEMPLATE_GROUP,CodeTemplateList,0),1))</f>
        <v>01.01.2023</v>
      </c>
      <c r="F29" s="639" t="str">
        <f>IF(TEMPLATE_GROUP="","",INDEX(EndDateList,MATCH(TEMPLATE_GROUP,CodeTemplateList,0),1))</f>
        <v>31.12.2023</v>
      </c>
      <c r="H29" s="640" t="s">
        <v>1536</v>
      </c>
      <c r="AX29" s="653" t="s">
        <v>1537</v>
      </c>
      <c r="AZ29" s="653" t="s">
        <v>1191</v>
      </c>
      <c r="BB29" s="653" t="s">
        <v>1386</v>
      </c>
      <c r="BC29" s="18"/>
      <c r="BE29" s="653">
        <v>2027</v>
      </c>
      <c r="BJ29" s="617" t="s">
        <v>1425</v>
      </c>
      <c r="BL29" s="617" t="s">
        <v>1425</v>
      </c>
    </row>
    <row r="30" spans="1:82" ht="11.25" customHeight="1">
      <c r="A30" s="35" t="s">
        <v>1538</v>
      </c>
      <c r="D30" s="641"/>
      <c r="E30" s="642"/>
      <c r="F30" s="642"/>
      <c r="AX30" s="653" t="s">
        <v>1539</v>
      </c>
      <c r="AZ30" s="653" t="s">
        <v>1218</v>
      </c>
      <c r="BE30" s="653">
        <v>2028</v>
      </c>
      <c r="BJ30" s="617" t="s">
        <v>1540</v>
      </c>
      <c r="BL30" s="617" t="s">
        <v>1540</v>
      </c>
    </row>
    <row r="31" spans="1:82" ht="12.75" customHeight="1">
      <c r="A31" s="35" t="s">
        <v>1541</v>
      </c>
      <c r="D31" s="35"/>
      <c r="E31" s="637"/>
      <c r="F31" s="637"/>
      <c r="H31" s="643"/>
      <c r="AX31" s="653" t="s">
        <v>1542</v>
      </c>
      <c r="AZ31" s="653" t="s">
        <v>1543</v>
      </c>
      <c r="BE31" s="653">
        <v>2029</v>
      </c>
      <c r="BJ31" s="617" t="s">
        <v>1544</v>
      </c>
      <c r="BL31" s="617" t="s">
        <v>1544</v>
      </c>
    </row>
    <row r="32" spans="1:82" ht="11.25" customHeight="1">
      <c r="A32" s="35" t="s">
        <v>1545</v>
      </c>
      <c r="D32" s="638" t="s">
        <v>1546</v>
      </c>
      <c r="E32" s="639" t="str">
        <f>IF(TEMPLATE_GROUP="","",INDEX(StartDateList,MATCH(TEMPLATE_GROUP,CodeTemplateList,0),1))</f>
        <v>01.01.2023</v>
      </c>
      <c r="F32" s="639" t="str">
        <f>IF(TEMPLATE_GROUP="","",INDEX(EndDateList,MATCH(TEMPLATE_GROUP,CodeTemplateList,0),1))</f>
        <v>31.12.2023</v>
      </c>
      <c r="H32" s="644" t="s">
        <v>1547</v>
      </c>
      <c r="O32" s="35" t="s">
        <v>1189</v>
      </c>
      <c r="AX32" s="653" t="s">
        <v>1548</v>
      </c>
      <c r="AZ32" s="653" t="s">
        <v>1285</v>
      </c>
      <c r="BE32" s="653">
        <v>2030</v>
      </c>
      <c r="BJ32" s="617" t="s">
        <v>1434</v>
      </c>
      <c r="BL32" s="617" t="s">
        <v>1434</v>
      </c>
    </row>
    <row r="33" spans="1:66" ht="11.25" customHeight="1">
      <c r="A33" s="35" t="s">
        <v>1549</v>
      </c>
      <c r="O33" s="35" t="s">
        <v>1215</v>
      </c>
      <c r="AX33" s="653" t="s">
        <v>1550</v>
      </c>
      <c r="AZ33" s="653" t="s">
        <v>1190</v>
      </c>
      <c r="BE33" s="653">
        <v>2031</v>
      </c>
      <c r="BJ33" s="617" t="s">
        <v>1441</v>
      </c>
      <c r="BL33" s="617" t="s">
        <v>1441</v>
      </c>
    </row>
    <row r="34" spans="1:66" ht="11.25" customHeight="1">
      <c r="A34" s="35" t="s">
        <v>1551</v>
      </c>
      <c r="O34" s="35" t="s">
        <v>1250</v>
      </c>
      <c r="AX34" s="653" t="s">
        <v>95</v>
      </c>
      <c r="BE34" s="653">
        <v>2032</v>
      </c>
      <c r="BJ34" s="617" t="s">
        <v>1452</v>
      </c>
      <c r="BL34" s="617" t="s">
        <v>1452</v>
      </c>
    </row>
    <row r="35" spans="1:66" ht="11.25" customHeight="1">
      <c r="A35" s="35" t="s">
        <v>1552</v>
      </c>
      <c r="O35" s="35" t="s">
        <v>1283</v>
      </c>
      <c r="AX35" s="653" t="s">
        <v>1553</v>
      </c>
      <c r="AZ35" s="616" t="s">
        <v>1554</v>
      </c>
      <c r="BE35" s="653">
        <v>2033</v>
      </c>
      <c r="BL35" s="617" t="s">
        <v>1555</v>
      </c>
    </row>
    <row r="36" spans="1:66" ht="11.25" customHeight="1">
      <c r="A36" s="1001" t="s">
        <v>1556</v>
      </c>
      <c r="D36" s="645" t="s">
        <v>1557</v>
      </c>
      <c r="E36" s="646" t="s">
        <v>723</v>
      </c>
      <c r="F36" s="631" t="str">
        <f>INDEX(E37:E41,MATCH(TEMPLATE_SPHERE,F37:F41,0))</f>
        <v>теплоснабжения</v>
      </c>
      <c r="G36" s="631" t="str">
        <f>INDEX(G37:G41,MATCH(TEMPLATE_SPHERE,F37:F41,0))</f>
        <v>теплоснабжение</v>
      </c>
      <c r="O36" s="35" t="s">
        <v>1307</v>
      </c>
      <c r="AX36" s="653" t="s">
        <v>1558</v>
      </c>
      <c r="AZ36" s="653" t="s">
        <v>1190</v>
      </c>
      <c r="BE36" s="653">
        <v>2034</v>
      </c>
      <c r="BL36" s="617" t="s">
        <v>1559</v>
      </c>
    </row>
    <row r="37" spans="1:66" ht="11.25" customHeight="1">
      <c r="A37" s="35" t="s">
        <v>1560</v>
      </c>
      <c r="E37" s="231" t="s">
        <v>1561</v>
      </c>
      <c r="F37" s="647" t="s">
        <v>723</v>
      </c>
      <c r="G37" s="231" t="s">
        <v>1562</v>
      </c>
      <c r="O37" s="35" t="s">
        <v>1326</v>
      </c>
      <c r="AX37" s="653" t="s">
        <v>1563</v>
      </c>
      <c r="AZ37" s="653" t="s">
        <v>1217</v>
      </c>
      <c r="BE37" s="653">
        <v>2035</v>
      </c>
    </row>
    <row r="38" spans="1:66" ht="11.25" customHeight="1">
      <c r="A38" s="35" t="s">
        <v>1564</v>
      </c>
      <c r="E38" s="231" t="s">
        <v>1565</v>
      </c>
      <c r="F38" s="648" t="s">
        <v>771</v>
      </c>
      <c r="G38" s="231" t="s">
        <v>1566</v>
      </c>
      <c r="O38" s="35" t="s">
        <v>1342</v>
      </c>
      <c r="AX38" s="653" t="s">
        <v>1567</v>
      </c>
      <c r="AZ38" s="653" t="s">
        <v>1251</v>
      </c>
      <c r="BE38" s="653">
        <v>2036</v>
      </c>
      <c r="BH38" s="616" t="s">
        <v>1568</v>
      </c>
      <c r="BJ38" s="616" t="s">
        <v>1569</v>
      </c>
      <c r="BL38" s="616" t="s">
        <v>1570</v>
      </c>
      <c r="BN38" s="616" t="s">
        <v>1571</v>
      </c>
    </row>
    <row r="39" spans="1:66" ht="11.25" customHeight="1">
      <c r="A39" s="35" t="s">
        <v>14</v>
      </c>
      <c r="E39" s="231" t="s">
        <v>1572</v>
      </c>
      <c r="F39" s="648" t="s">
        <v>826</v>
      </c>
      <c r="G39" s="231" t="s">
        <v>1573</v>
      </c>
      <c r="O39" s="35" t="s">
        <v>1356</v>
      </c>
      <c r="AX39" s="653" t="s">
        <v>1574</v>
      </c>
      <c r="AZ39" s="653" t="s">
        <v>1284</v>
      </c>
      <c r="BE39" s="653">
        <v>2037</v>
      </c>
      <c r="BH39" s="617" t="s">
        <v>1575</v>
      </c>
      <c r="BJ39" s="697" t="s">
        <v>1575</v>
      </c>
      <c r="BL39" s="697" t="s">
        <v>1575</v>
      </c>
      <c r="BN39" s="617" t="s">
        <v>1576</v>
      </c>
    </row>
    <row r="40" spans="1:66" ht="11.25" customHeight="1">
      <c r="A40" s="35" t="s">
        <v>1577</v>
      </c>
      <c r="E40" s="231" t="s">
        <v>1578</v>
      </c>
      <c r="F40" s="648" t="s">
        <v>812</v>
      </c>
      <c r="G40" s="231" t="s">
        <v>1579</v>
      </c>
      <c r="O40" s="35" t="s">
        <v>1371</v>
      </c>
      <c r="AX40" s="653" t="s">
        <v>1580</v>
      </c>
      <c r="BE40" s="653">
        <v>2038</v>
      </c>
      <c r="BH40" s="617" t="s">
        <v>1581</v>
      </c>
      <c r="BJ40" s="697" t="s">
        <v>1000</v>
      </c>
      <c r="BL40" s="697" t="s">
        <v>1000</v>
      </c>
      <c r="BN40" s="617" t="s">
        <v>1034</v>
      </c>
    </row>
    <row r="41" spans="1:66" ht="11.25" customHeight="1">
      <c r="A41" s="35" t="s">
        <v>1582</v>
      </c>
      <c r="E41" s="231" t="s">
        <v>1583</v>
      </c>
      <c r="F41" s="648" t="s">
        <v>1584</v>
      </c>
      <c r="G41" s="231" t="s">
        <v>1583</v>
      </c>
      <c r="O41" s="35" t="s">
        <v>1386</v>
      </c>
      <c r="AX41" s="653" t="s">
        <v>1585</v>
      </c>
      <c r="AZ41" s="616" t="s">
        <v>1586</v>
      </c>
      <c r="BE41" s="653">
        <v>2039</v>
      </c>
      <c r="BH41" s="617" t="s">
        <v>1587</v>
      </c>
      <c r="BJ41" s="697" t="s">
        <v>996</v>
      </c>
      <c r="BL41" s="697" t="s">
        <v>996</v>
      </c>
      <c r="BN41" s="617" t="s">
        <v>1021</v>
      </c>
    </row>
    <row r="42" spans="1:66" ht="11.25" customHeight="1">
      <c r="A42" s="35" t="s">
        <v>1588</v>
      </c>
      <c r="AX42" s="653" t="s">
        <v>1589</v>
      </c>
      <c r="AZ42" s="653" t="s">
        <v>1189</v>
      </c>
      <c r="BE42" s="653">
        <v>2040</v>
      </c>
      <c r="BH42" s="617" t="s">
        <v>1018</v>
      </c>
      <c r="BJ42" s="697" t="s">
        <v>998</v>
      </c>
      <c r="BL42" s="697" t="s">
        <v>998</v>
      </c>
      <c r="BN42" s="617" t="s">
        <v>1590</v>
      </c>
    </row>
    <row r="43" spans="1:66" ht="11.25" customHeight="1">
      <c r="A43" s="35" t="s">
        <v>1591</v>
      </c>
      <c r="AX43" s="653" t="s">
        <v>1592</v>
      </c>
      <c r="AZ43" s="653" t="s">
        <v>1215</v>
      </c>
      <c r="BE43" s="653">
        <v>2041</v>
      </c>
      <c r="BH43" s="617" t="s">
        <v>1593</v>
      </c>
      <c r="BJ43" s="697" t="s">
        <v>1587</v>
      </c>
      <c r="BL43" s="697" t="s">
        <v>1587</v>
      </c>
      <c r="BN43" s="617" t="s">
        <v>1594</v>
      </c>
    </row>
    <row r="44" spans="1:66" ht="11.25" customHeight="1">
      <c r="A44" s="35" t="s">
        <v>1595</v>
      </c>
      <c r="I44" s="451" t="s">
        <v>1596</v>
      </c>
      <c r="J44" s="632" t="s">
        <v>1597</v>
      </c>
      <c r="K44" s="632" t="s">
        <v>1598</v>
      </c>
      <c r="AX44" s="653" t="s">
        <v>1599</v>
      </c>
      <c r="AZ44" s="653" t="s">
        <v>1250</v>
      </c>
      <c r="BE44" s="653">
        <v>2042</v>
      </c>
      <c r="BH44" s="617" t="s">
        <v>1600</v>
      </c>
      <c r="BJ44" s="697" t="s">
        <v>1018</v>
      </c>
      <c r="BL44" s="697" t="s">
        <v>1018</v>
      </c>
      <c r="BN44" s="617" t="s">
        <v>1601</v>
      </c>
    </row>
    <row r="45" spans="1:66" ht="11.25" customHeight="1">
      <c r="A45" s="35" t="s">
        <v>1602</v>
      </c>
      <c r="D45" s="645" t="s">
        <v>1603</v>
      </c>
      <c r="E45" s="646" t="s">
        <v>1604</v>
      </c>
      <c r="F45" s="450" t="s">
        <v>1605</v>
      </c>
      <c r="G45" s="449" t="s">
        <v>1606</v>
      </c>
      <c r="H45" s="451" t="s">
        <v>1607</v>
      </c>
      <c r="I45" s="940" t="b">
        <f>INDEX(PeriodIsEmptyList,MATCH(TEMPLATE_GROUP,CodeTemplateList,0),1)</f>
        <v>0</v>
      </c>
      <c r="J45" s="943"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94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53" t="s">
        <v>1608</v>
      </c>
      <c r="AZ45" s="653" t="s">
        <v>1283</v>
      </c>
      <c r="BE45" s="653">
        <v>2043</v>
      </c>
      <c r="BH45" s="617" t="s">
        <v>1609</v>
      </c>
      <c r="BJ45" s="697" t="s">
        <v>1012</v>
      </c>
      <c r="BL45" s="697" t="s">
        <v>1012</v>
      </c>
      <c r="BN45" s="617" t="s">
        <v>1610</v>
      </c>
    </row>
    <row r="46" spans="1:66" ht="11.25" customHeight="1">
      <c r="A46" s="35" t="s">
        <v>1611</v>
      </c>
      <c r="E46" s="231" t="s">
        <v>23</v>
      </c>
      <c r="F46" s="647" t="s">
        <v>1612</v>
      </c>
      <c r="G46" s="649"/>
      <c r="H46" s="649"/>
      <c r="I46" s="941" t="b">
        <f>IF(TITLE_DATE_FIL="",TRUE,FALSE)</f>
        <v>1</v>
      </c>
      <c r="J46" s="944" t="str">
        <f>"Общая информация о регулируемой организации ("&amp;TEMPLATE_SPHERE_RUS&amp;")"</f>
        <v>Общая информация о регулируемой организации (теплоснабжения)</v>
      </c>
      <c r="K46" s="945"/>
      <c r="AX46" s="653" t="s">
        <v>1613</v>
      </c>
      <c r="AZ46" s="653" t="s">
        <v>1307</v>
      </c>
      <c r="BE46" s="653">
        <v>2044</v>
      </c>
      <c r="BH46" s="617" t="s">
        <v>1021</v>
      </c>
      <c r="BJ46" s="697" t="s">
        <v>1002</v>
      </c>
      <c r="BL46" s="697" t="s">
        <v>1002</v>
      </c>
      <c r="BN46" s="617" t="s">
        <v>1614</v>
      </c>
    </row>
    <row r="47" spans="1:66" ht="11.25" customHeight="1">
      <c r="A47" s="35" t="s">
        <v>1615</v>
      </c>
      <c r="E47" s="231" t="s">
        <v>29</v>
      </c>
      <c r="F47" s="648" t="s">
        <v>1616</v>
      </c>
      <c r="G47" s="650" t="str">
        <f>IF(f_year="","",IF(LEN(f_quart)=0,"",IF(f_quart="I квартал","01.01."&amp;f_year,IF(f_quart="II квартал","01.04."&amp;f_year,(IF(f_quart="III квартал","01.07."&amp;f_year,"01.10."&amp;f_year))))))</f>
        <v/>
      </c>
      <c r="H47" s="650" t="str">
        <f>IF(f_year="","",IF(LEN(f_quart)=0,"",IF(f_quart="I квартал","31.03."&amp;f_year,IF(f_quart="II квартал","30.06."&amp;f_year,(IF(f_quart="III квартал","30.09."&amp;f_year,"31.12."&amp;f_year))))))</f>
        <v/>
      </c>
      <c r="I47" s="942" t="b">
        <f>IF(OR(f_year="",f_quart=""),TRUE,FALSE)</f>
        <v>1</v>
      </c>
      <c r="J47" s="94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45"/>
      <c r="AX47" s="653" t="s">
        <v>1617</v>
      </c>
      <c r="AZ47" s="653" t="s">
        <v>1326</v>
      </c>
      <c r="BE47" s="653">
        <v>2045</v>
      </c>
      <c r="BH47" s="617" t="s">
        <v>1590</v>
      </c>
      <c r="BJ47" s="697" t="s">
        <v>1004</v>
      </c>
      <c r="BL47" s="697" t="s">
        <v>1004</v>
      </c>
      <c r="BN47" s="617" t="s">
        <v>1618</v>
      </c>
    </row>
    <row r="48" spans="1:66" ht="11.25" customHeight="1">
      <c r="A48" s="35" t="s">
        <v>1619</v>
      </c>
      <c r="E48" s="231" t="s">
        <v>1620</v>
      </c>
      <c r="F48" s="648" t="s">
        <v>1604</v>
      </c>
      <c r="G48" s="650" t="str">
        <f>IF(f_year="","","01.01."&amp;f_year)</f>
        <v>01.01.2023</v>
      </c>
      <c r="H48" s="650" t="str">
        <f>IF(f_year="","","31.12."&amp;f_year)</f>
        <v>31.12.2023</v>
      </c>
      <c r="I48" s="941" t="b">
        <f>IF(f_year="",TRUE,FALSE)</f>
        <v>0</v>
      </c>
      <c r="J48" s="944" t="s">
        <v>1621</v>
      </c>
      <c r="K48" s="945"/>
      <c r="AX48" s="653" t="s">
        <v>1622</v>
      </c>
      <c r="AZ48" s="653" t="s">
        <v>1342</v>
      </c>
      <c r="BE48" s="653">
        <v>2046</v>
      </c>
      <c r="BH48" s="617" t="s">
        <v>1594</v>
      </c>
      <c r="BJ48" s="697" t="s">
        <v>1006</v>
      </c>
      <c r="BL48" s="697" t="s">
        <v>1006</v>
      </c>
      <c r="BN48" s="617" t="s">
        <v>1623</v>
      </c>
    </row>
    <row r="49" spans="1:64" ht="11.25" customHeight="1">
      <c r="A49" s="35" t="s">
        <v>1624</v>
      </c>
      <c r="E49" s="231" t="s">
        <v>1625</v>
      </c>
      <c r="F49" s="648" t="s">
        <v>1626</v>
      </c>
      <c r="G49" s="650" t="str">
        <f>IF(f_year="","","01.01."&amp;f_year)</f>
        <v>01.01.2023</v>
      </c>
      <c r="H49" s="650" t="str">
        <f>IF(f_year="","","31.12."&amp;f_year)</f>
        <v>31.12.2023</v>
      </c>
      <c r="I49" s="941" t="b">
        <f>IF(f_year="",TRUE,FALSE)</f>
        <v>0</v>
      </c>
      <c r="J49" s="94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45"/>
      <c r="AX49" s="653" t="s">
        <v>1627</v>
      </c>
      <c r="AZ49" s="653" t="s">
        <v>1356</v>
      </c>
      <c r="BE49" s="653">
        <v>2047</v>
      </c>
      <c r="BH49" s="617" t="s">
        <v>1022</v>
      </c>
      <c r="BJ49" s="697" t="s">
        <v>1008</v>
      </c>
      <c r="BL49" s="697" t="s">
        <v>1008</v>
      </c>
    </row>
    <row r="50" spans="1:64" ht="11.25" customHeight="1">
      <c r="A50" s="35" t="s">
        <v>1628</v>
      </c>
      <c r="E50" s="231" t="s">
        <v>1629</v>
      </c>
      <c r="F50" s="648" t="s">
        <v>992</v>
      </c>
      <c r="G50" s="650" t="str">
        <f>IF(f_year="","","01.01."&amp;f_year)</f>
        <v>01.01.2023</v>
      </c>
      <c r="H50" s="650" t="str">
        <f>IF(f_year="","","31.12."&amp;f_year)</f>
        <v>31.12.2023</v>
      </c>
      <c r="I50" s="941" t="b">
        <f>IF(f_year="",TRUE,FALSE)</f>
        <v>0</v>
      </c>
      <c r="J50" s="94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45"/>
      <c r="AX50" s="653" t="s">
        <v>1630</v>
      </c>
      <c r="AZ50" s="653" t="s">
        <v>1371</v>
      </c>
      <c r="BE50" s="653">
        <v>2048</v>
      </c>
      <c r="BH50" s="617" t="s">
        <v>1601</v>
      </c>
      <c r="BJ50" s="697" t="s">
        <v>1010</v>
      </c>
      <c r="BL50" s="697" t="s">
        <v>1010</v>
      </c>
    </row>
    <row r="51" spans="1:64" ht="11.25" customHeight="1">
      <c r="A51" s="35" t="s">
        <v>1631</v>
      </c>
      <c r="E51" s="231" t="s">
        <v>1632</v>
      </c>
      <c r="F51" s="648" t="s">
        <v>1633</v>
      </c>
      <c r="G51" s="650" t="str">
        <f>IF(TITLE_PERIOD_START="","",TITLE_PERIOD_START)</f>
        <v/>
      </c>
      <c r="H51" s="650" t="str">
        <f>IF(TITLE_PERIOD_END="","",TITLE_PERIOD_END)</f>
        <v/>
      </c>
      <c r="I51" s="942" t="b">
        <f>IF(OR(TITLE_PERIOD_START="",TITLE_PERIOD_END=""),TRUE,FALSE)</f>
        <v>1</v>
      </c>
      <c r="J51" s="94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45"/>
      <c r="AX51" s="653" t="s">
        <v>1634</v>
      </c>
      <c r="AZ51" s="653" t="s">
        <v>1386</v>
      </c>
      <c r="BE51" s="653">
        <v>2049</v>
      </c>
      <c r="BH51" s="617" t="s">
        <v>1610</v>
      </c>
      <c r="BJ51" s="697" t="s">
        <v>1635</v>
      </c>
      <c r="BL51" s="697" t="s">
        <v>1635</v>
      </c>
    </row>
    <row r="52" spans="1:64" ht="11.25" customHeight="1">
      <c r="A52" s="35" t="s">
        <v>1636</v>
      </c>
      <c r="E52" s="231" t="s">
        <v>1637</v>
      </c>
      <c r="F52" s="648" t="s">
        <v>1638</v>
      </c>
      <c r="G52" s="650" t="str">
        <f>IF(TITLE_PERIOD_START="","",TITLE_PERIOD_START)</f>
        <v/>
      </c>
      <c r="H52" s="650" t="str">
        <f>IF(TITLE_PERIOD_END="","",TITLE_PERIOD_END)</f>
        <v/>
      </c>
      <c r="I52" s="942" t="b">
        <f>IF(OR(TITLE_PERIOD_START="",TITLE_PERIOD_END=""),TRUE,FALSE)</f>
        <v>1</v>
      </c>
      <c r="J52" s="944" t="str">
        <f>"Показатели, подлежащие раскрытию в сфере "&amp;TEMPLATE_SPHERE_RUS&amp;" (цены и тарифы)"</f>
        <v>Показатели, подлежащие раскрытию в сфере теплоснабжения (цены и тарифы)</v>
      </c>
      <c r="K52" s="945"/>
      <c r="AX52" s="653" t="s">
        <v>1639</v>
      </c>
      <c r="AZ52" s="653" t="s">
        <v>1190</v>
      </c>
      <c r="BE52" s="653">
        <v>2050</v>
      </c>
      <c r="BH52" s="617" t="s">
        <v>1614</v>
      </c>
      <c r="BJ52" s="697" t="s">
        <v>1021</v>
      </c>
      <c r="BL52" s="697" t="s">
        <v>1021</v>
      </c>
    </row>
    <row r="53" spans="1:64" ht="11.25" customHeight="1">
      <c r="A53" s="35" t="s">
        <v>1640</v>
      </c>
      <c r="E53" s="231" t="s">
        <v>1641</v>
      </c>
      <c r="F53" s="648" t="s">
        <v>1641</v>
      </c>
      <c r="G53" s="650" t="str">
        <f>IF(f_year="","","01.01."&amp;f_year)</f>
        <v>01.01.2023</v>
      </c>
      <c r="H53" s="650" t="str">
        <f>IF(f_year="","","31.12."&amp;f_year)</f>
        <v>31.12.2023</v>
      </c>
      <c r="I53" s="941" t="b">
        <f>IF(AND(f_year="",TITLE_DATE_FIL=""),TRUE,FALSE)</f>
        <v>0</v>
      </c>
      <c r="J53" s="944" t="s">
        <v>1642</v>
      </c>
      <c r="K53" s="945"/>
      <c r="AX53" s="653" t="s">
        <v>1643</v>
      </c>
      <c r="BE53" s="653">
        <v>2051</v>
      </c>
      <c r="BH53" s="617" t="s">
        <v>1618</v>
      </c>
      <c r="BJ53" s="697" t="s">
        <v>1590</v>
      </c>
      <c r="BL53" s="697" t="s">
        <v>1590</v>
      </c>
    </row>
    <row r="54" spans="1:64" ht="11.25" customHeight="1">
      <c r="A54" s="35" t="s">
        <v>1644</v>
      </c>
      <c r="AX54" s="653" t="s">
        <v>1645</v>
      </c>
      <c r="AZ54" s="616" t="s">
        <v>1646</v>
      </c>
      <c r="BE54" s="653">
        <v>2052</v>
      </c>
      <c r="BH54" s="617" t="s">
        <v>1623</v>
      </c>
      <c r="BJ54" s="697" t="s">
        <v>1594</v>
      </c>
      <c r="BL54" s="697" t="s">
        <v>1594</v>
      </c>
    </row>
    <row r="55" spans="1:64" ht="11.25" customHeight="1">
      <c r="A55" s="35" t="s">
        <v>1647</v>
      </c>
      <c r="AX55" s="653" t="s">
        <v>1648</v>
      </c>
      <c r="AZ55" s="653" t="s">
        <v>1192</v>
      </c>
      <c r="BE55" s="653">
        <v>2053</v>
      </c>
      <c r="BH55" s="186" t="s">
        <v>18</v>
      </c>
      <c r="BJ55" s="697" t="s">
        <v>1022</v>
      </c>
      <c r="BL55" s="697" t="s">
        <v>1022</v>
      </c>
    </row>
    <row r="56" spans="1:64" ht="11.25" customHeight="1">
      <c r="A56" s="35" t="s">
        <v>1649</v>
      </c>
      <c r="D56" s="651" t="s">
        <v>1650</v>
      </c>
      <c r="E56" s="632" t="s">
        <v>107</v>
      </c>
      <c r="F56" s="35" t="s">
        <v>1651</v>
      </c>
      <c r="AX56" s="653" t="s">
        <v>1652</v>
      </c>
      <c r="AZ56" s="653" t="s">
        <v>1219</v>
      </c>
      <c r="BE56" s="653">
        <v>2054</v>
      </c>
      <c r="BH56" s="186" t="s">
        <v>18</v>
      </c>
      <c r="BJ56" s="697" t="s">
        <v>1601</v>
      </c>
      <c r="BL56" s="697" t="s">
        <v>1601</v>
      </c>
    </row>
    <row r="57" spans="1:64" ht="11.25" customHeight="1">
      <c r="A57" s="35" t="s">
        <v>1653</v>
      </c>
      <c r="D57" s="651" t="s">
        <v>1654</v>
      </c>
      <c r="E57" s="632" t="s">
        <v>1643</v>
      </c>
      <c r="F57" s="35" t="s">
        <v>1651</v>
      </c>
      <c r="AX57" s="653" t="s">
        <v>1655</v>
      </c>
      <c r="AZ57" s="653" t="s">
        <v>1253</v>
      </c>
      <c r="BE57" s="653">
        <v>2055</v>
      </c>
      <c r="BJ57" s="697" t="s">
        <v>1610</v>
      </c>
      <c r="BL57" s="697" t="s">
        <v>1610</v>
      </c>
    </row>
    <row r="58" spans="1:64" ht="11.25" customHeight="1">
      <c r="A58" s="35" t="s">
        <v>1656</v>
      </c>
      <c r="D58" s="651" t="s">
        <v>1657</v>
      </c>
      <c r="E58" s="632" t="s">
        <v>1643</v>
      </c>
      <c r="F58" s="35" t="s">
        <v>1651</v>
      </c>
      <c r="AX58" s="653" t="s">
        <v>1658</v>
      </c>
      <c r="BE58" s="653">
        <v>2056</v>
      </c>
      <c r="BJ58" s="697" t="s">
        <v>1614</v>
      </c>
      <c r="BL58" s="697" t="s">
        <v>1614</v>
      </c>
    </row>
    <row r="59" spans="1:64" ht="11.25" customHeight="1">
      <c r="A59" s="35" t="s">
        <v>1659</v>
      </c>
      <c r="D59" s="651" t="s">
        <v>132</v>
      </c>
      <c r="E59" s="632" t="s">
        <v>1548</v>
      </c>
      <c r="F59" s="35" t="s">
        <v>1660</v>
      </c>
      <c r="AX59" s="653" t="s">
        <v>1661</v>
      </c>
      <c r="AZ59" s="616" t="s">
        <v>1662</v>
      </c>
      <c r="BE59" s="653">
        <v>2057</v>
      </c>
      <c r="BJ59" s="697" t="s">
        <v>1618</v>
      </c>
      <c r="BL59" s="697" t="s">
        <v>1618</v>
      </c>
    </row>
    <row r="60" spans="1:64" ht="11.25" customHeight="1">
      <c r="A60" s="35" t="s">
        <v>1663</v>
      </c>
      <c r="D60" s="651" t="s">
        <v>1664</v>
      </c>
      <c r="E60" s="632" t="s">
        <v>1548</v>
      </c>
      <c r="F60" s="35" t="s">
        <v>1660</v>
      </c>
      <c r="AX60" s="653" t="s">
        <v>1665</v>
      </c>
      <c r="AZ60" s="653" t="s">
        <v>1193</v>
      </c>
      <c r="BE60" s="653">
        <v>2058</v>
      </c>
      <c r="BJ60" s="697" t="s">
        <v>1623</v>
      </c>
      <c r="BL60" s="697" t="s">
        <v>1623</v>
      </c>
    </row>
    <row r="61" spans="1:64" ht="11.25" customHeight="1">
      <c r="A61" s="35" t="s">
        <v>1666</v>
      </c>
      <c r="D61" s="651" t="s">
        <v>1667</v>
      </c>
      <c r="E61" s="632" t="s">
        <v>1548</v>
      </c>
      <c r="F61" s="35" t="s">
        <v>1660</v>
      </c>
      <c r="AX61" s="653" t="s">
        <v>1668</v>
      </c>
      <c r="AZ61" s="653" t="s">
        <v>1220</v>
      </c>
      <c r="BE61" s="653">
        <v>2059</v>
      </c>
      <c r="BL61" s="697" t="s">
        <v>1014</v>
      </c>
    </row>
    <row r="62" spans="1:64" ht="11.25" customHeight="1">
      <c r="A62" s="35" t="s">
        <v>1669</v>
      </c>
      <c r="D62" s="651" t="s">
        <v>131</v>
      </c>
      <c r="E62" s="632">
        <v>30</v>
      </c>
      <c r="F62" s="35" t="s">
        <v>1660</v>
      </c>
      <c r="AZ62" s="653" t="s">
        <v>1254</v>
      </c>
      <c r="BE62" s="653">
        <v>2060</v>
      </c>
      <c r="BL62" s="697" t="s">
        <v>1016</v>
      </c>
    </row>
    <row r="63" spans="1:64" ht="11.25" customHeight="1">
      <c r="A63" s="35" t="s">
        <v>1670</v>
      </c>
      <c r="D63" s="651" t="s">
        <v>1671</v>
      </c>
      <c r="E63" s="632">
        <v>30</v>
      </c>
      <c r="F63" s="35" t="s">
        <v>1660</v>
      </c>
      <c r="AZ63" s="653" t="s">
        <v>1286</v>
      </c>
      <c r="BE63" s="653">
        <v>2061</v>
      </c>
    </row>
    <row r="64" spans="1:64" ht="11.25" customHeight="1">
      <c r="A64" s="35" t="s">
        <v>1672</v>
      </c>
      <c r="D64" s="651" t="s">
        <v>1673</v>
      </c>
      <c r="E64" s="632">
        <v>30</v>
      </c>
      <c r="F64" s="35" t="s">
        <v>1660</v>
      </c>
      <c r="AZ64" s="653" t="s">
        <v>1308</v>
      </c>
      <c r="BE64" s="653">
        <v>2062</v>
      </c>
    </row>
    <row r="65" spans="1:66" ht="11.25" customHeight="1">
      <c r="A65" s="35" t="s">
        <v>1674</v>
      </c>
      <c r="D65" s="35"/>
      <c r="BE65" s="653">
        <v>2063</v>
      </c>
    </row>
    <row r="66" spans="1:66" ht="11.25" customHeight="1">
      <c r="A66" s="35" t="s">
        <v>1675</v>
      </c>
      <c r="AZ66" s="616" t="s">
        <v>1676</v>
      </c>
      <c r="BE66" s="653">
        <v>2064</v>
      </c>
    </row>
    <row r="67" spans="1:66" ht="11.25" customHeight="1">
      <c r="A67" s="35" t="s">
        <v>1677</v>
      </c>
      <c r="AZ67" s="653" t="s">
        <v>1194</v>
      </c>
      <c r="BE67" s="653">
        <v>2065</v>
      </c>
    </row>
    <row r="68" spans="1:66" ht="11.25" customHeight="1">
      <c r="A68" s="35" t="s">
        <v>1678</v>
      </c>
      <c r="AZ68" s="653" t="s">
        <v>1221</v>
      </c>
      <c r="BE68" s="653">
        <v>2066</v>
      </c>
      <c r="BH68" s="616" t="s">
        <v>1679</v>
      </c>
      <c r="BJ68" s="616" t="s">
        <v>1680</v>
      </c>
      <c r="BL68" s="616" t="s">
        <v>1681</v>
      </c>
      <c r="BN68" s="616" t="s">
        <v>1682</v>
      </c>
    </row>
    <row r="69" spans="1:66" ht="11.25" customHeight="1">
      <c r="A69" s="35" t="s">
        <v>1683</v>
      </c>
      <c r="AZ69" s="653" t="s">
        <v>1255</v>
      </c>
      <c r="BE69" s="653">
        <v>2067</v>
      </c>
      <c r="BH69" s="617" t="s">
        <v>1684</v>
      </c>
      <c r="BI69" s="186" t="s">
        <v>105</v>
      </c>
      <c r="BJ69" s="617" t="s">
        <v>1685</v>
      </c>
      <c r="BK69" s="186" t="s">
        <v>105</v>
      </c>
      <c r="BL69" s="617" t="s">
        <v>1686</v>
      </c>
      <c r="BM69" s="186" t="s">
        <v>105</v>
      </c>
      <c r="BN69" s="617" t="s">
        <v>1687</v>
      </c>
    </row>
    <row r="70" spans="1:66" ht="11.25" customHeight="1">
      <c r="A70" s="35" t="s">
        <v>1688</v>
      </c>
      <c r="AZ70" s="653" t="s">
        <v>1287</v>
      </c>
      <c r="BE70" s="653">
        <v>2068</v>
      </c>
      <c r="BH70" s="617" t="s">
        <v>1689</v>
      </c>
      <c r="BJ70" s="617" t="s">
        <v>1690</v>
      </c>
      <c r="BL70" s="617" t="s">
        <v>1691</v>
      </c>
      <c r="BN70" s="617" t="s">
        <v>1692</v>
      </c>
    </row>
    <row r="71" spans="1:66" ht="11.25" customHeight="1">
      <c r="A71" s="35" t="s">
        <v>1693</v>
      </c>
      <c r="AZ71" s="653" t="s">
        <v>1289</v>
      </c>
      <c r="BE71" s="653">
        <v>2069</v>
      </c>
      <c r="BH71" s="617" t="s">
        <v>1694</v>
      </c>
      <c r="BI71" s="186" t="s">
        <v>86</v>
      </c>
      <c r="BJ71" s="617" t="s">
        <v>1695</v>
      </c>
      <c r="BK71" s="186" t="s">
        <v>86</v>
      </c>
      <c r="BL71" s="617" t="s">
        <v>1696</v>
      </c>
      <c r="BM71" s="186" t="s">
        <v>86</v>
      </c>
      <c r="BN71" s="617" t="s">
        <v>1697</v>
      </c>
    </row>
    <row r="72" spans="1:66" ht="11.25" customHeight="1">
      <c r="A72" s="35" t="s">
        <v>1698</v>
      </c>
      <c r="AZ72" s="653" t="s">
        <v>52</v>
      </c>
      <c r="BE72" s="653">
        <v>2070</v>
      </c>
      <c r="BH72" s="617" t="s">
        <v>1699</v>
      </c>
      <c r="BJ72" s="617" t="s">
        <v>1699</v>
      </c>
      <c r="BL72" s="617" t="s">
        <v>1699</v>
      </c>
      <c r="BN72" s="617" t="s">
        <v>1700</v>
      </c>
    </row>
    <row r="73" spans="1:66" ht="11.25" customHeight="1">
      <c r="A73" s="35" t="s">
        <v>1701</v>
      </c>
      <c r="BH73" s="617" t="s">
        <v>1702</v>
      </c>
      <c r="BI73" s="186" t="s">
        <v>107</v>
      </c>
      <c r="BJ73" s="617" t="s">
        <v>1703</v>
      </c>
      <c r="BK73" s="186" t="s">
        <v>107</v>
      </c>
      <c r="BL73" s="617" t="s">
        <v>1704</v>
      </c>
      <c r="BM73" s="186" t="s">
        <v>107</v>
      </c>
      <c r="BN73" s="617" t="s">
        <v>1705</v>
      </c>
    </row>
    <row r="74" spans="1:66" ht="11.25" customHeight="1">
      <c r="A74" s="35" t="s">
        <v>1706</v>
      </c>
      <c r="BH74" s="617" t="s">
        <v>1707</v>
      </c>
      <c r="BJ74" s="617" t="s">
        <v>1708</v>
      </c>
      <c r="BL74" s="617" t="s">
        <v>1709</v>
      </c>
      <c r="BN74" s="617" t="s">
        <v>1710</v>
      </c>
    </row>
    <row r="75" spans="1:66" ht="11.25" customHeight="1">
      <c r="A75" s="35" t="s">
        <v>1711</v>
      </c>
      <c r="AZ75" s="616" t="s">
        <v>1712</v>
      </c>
      <c r="BH75" s="617" t="s">
        <v>1713</v>
      </c>
      <c r="BJ75" s="617" t="s">
        <v>1713</v>
      </c>
      <c r="BL75" s="617" t="s">
        <v>1713</v>
      </c>
    </row>
    <row r="76" spans="1:66" ht="11.25" customHeight="1">
      <c r="A76" s="35" t="s">
        <v>1714</v>
      </c>
      <c r="AZ76" s="653" t="s">
        <v>1203</v>
      </c>
      <c r="BH76" s="617" t="s">
        <v>1715</v>
      </c>
      <c r="BJ76" s="617" t="s">
        <v>1716</v>
      </c>
      <c r="BL76" s="617" t="s">
        <v>1717</v>
      </c>
    </row>
    <row r="77" spans="1:66" ht="11.25" customHeight="1">
      <c r="A77" s="35" t="s">
        <v>1718</v>
      </c>
      <c r="AZ77" s="653" t="s">
        <v>1231</v>
      </c>
    </row>
    <row r="78" spans="1:66" ht="11.25" customHeight="1">
      <c r="A78" s="35" t="s">
        <v>1719</v>
      </c>
      <c r="AZ78" s="653" t="s">
        <v>1262</v>
      </c>
    </row>
    <row r="79" spans="1:66" ht="11.25" customHeight="1">
      <c r="A79" s="35" t="s">
        <v>1720</v>
      </c>
      <c r="AZ79" s="653" t="s">
        <v>1293</v>
      </c>
      <c r="BH79" s="616" t="s">
        <v>1721</v>
      </c>
      <c r="BJ79" s="616" t="s">
        <v>1722</v>
      </c>
      <c r="BL79" s="616" t="s">
        <v>1723</v>
      </c>
    </row>
    <row r="80" spans="1:66" ht="11.25" customHeight="1">
      <c r="A80" s="35" t="s">
        <v>1724</v>
      </c>
      <c r="AZ80" s="653" t="s">
        <v>1313</v>
      </c>
      <c r="BH80" s="617" t="s">
        <v>1725</v>
      </c>
      <c r="BJ80" s="617" t="s">
        <v>1726</v>
      </c>
      <c r="BL80" s="617" t="s">
        <v>1727</v>
      </c>
    </row>
    <row r="81" spans="1:66" ht="11.25" customHeight="1">
      <c r="A81" s="35" t="s">
        <v>1728</v>
      </c>
      <c r="AZ81" s="653" t="s">
        <v>1330</v>
      </c>
      <c r="BH81" s="617" t="s">
        <v>1729</v>
      </c>
      <c r="BJ81" s="617" t="s">
        <v>1730</v>
      </c>
      <c r="BL81" s="617" t="s">
        <v>1731</v>
      </c>
    </row>
    <row r="82" spans="1:66" ht="11.25" customHeight="1">
      <c r="A82" s="35" t="s">
        <v>1732</v>
      </c>
      <c r="AZ82" s="653" t="s">
        <v>1344</v>
      </c>
      <c r="BH82" s="617" t="s">
        <v>1733</v>
      </c>
      <c r="BJ82" s="617" t="s">
        <v>1734</v>
      </c>
      <c r="BL82" s="617" t="s">
        <v>1735</v>
      </c>
    </row>
    <row r="83" spans="1:66" ht="11.25" customHeight="1">
      <c r="A83" s="35" t="s">
        <v>1736</v>
      </c>
      <c r="BH83" s="617" t="s">
        <v>1737</v>
      </c>
      <c r="BJ83" s="617" t="s">
        <v>1738</v>
      </c>
      <c r="BL83" s="617" t="s">
        <v>1739</v>
      </c>
    </row>
    <row r="84" spans="1:66" ht="11.25" customHeight="1">
      <c r="A84" s="35" t="s">
        <v>1740</v>
      </c>
      <c r="AZ84" s="616" t="s">
        <v>1741</v>
      </c>
    </row>
    <row r="85" spans="1:66" ht="11.25" customHeight="1">
      <c r="A85" s="1001" t="s">
        <v>1742</v>
      </c>
      <c r="AZ85" s="653" t="s">
        <v>1743</v>
      </c>
    </row>
    <row r="86" spans="1:66" ht="11.25" customHeight="1">
      <c r="A86" s="35" t="s">
        <v>1744</v>
      </c>
      <c r="AZ86" s="653" t="s">
        <v>1745</v>
      </c>
      <c r="BH86" s="616" t="s">
        <v>1746</v>
      </c>
      <c r="BJ86" s="616" t="s">
        <v>1747</v>
      </c>
      <c r="BL86" s="616" t="s">
        <v>1748</v>
      </c>
    </row>
    <row r="87" spans="1:66" ht="11.25" customHeight="1">
      <c r="A87" s="35" t="s">
        <v>1749</v>
      </c>
      <c r="AZ87" s="653" t="s">
        <v>1750</v>
      </c>
      <c r="BH87" s="617" t="s">
        <v>1751</v>
      </c>
      <c r="BJ87" s="617" t="s">
        <v>1752</v>
      </c>
      <c r="BL87" s="617" t="s">
        <v>1753</v>
      </c>
    </row>
    <row r="88" spans="1:66" ht="11.25" customHeight="1">
      <c r="A88" s="35" t="s">
        <v>1754</v>
      </c>
      <c r="AZ88"/>
      <c r="BH88" s="617" t="s">
        <v>1755</v>
      </c>
      <c r="BJ88" s="617" t="s">
        <v>1756</v>
      </c>
      <c r="BL88" s="617" t="s">
        <v>1757</v>
      </c>
    </row>
    <row r="89" spans="1:66" ht="11.25" customHeight="1">
      <c r="A89" s="35" t="s">
        <v>1758</v>
      </c>
      <c r="AZ89" s="616" t="s">
        <v>1759</v>
      </c>
    </row>
    <row r="90" spans="1:66" ht="11.25" customHeight="1">
      <c r="A90" s="35" t="s">
        <v>1760</v>
      </c>
      <c r="AZ90" s="653" t="s">
        <v>992</v>
      </c>
    </row>
    <row r="91" spans="1:66" ht="11.25" customHeight="1">
      <c r="A91" s="35" t="s">
        <v>1761</v>
      </c>
      <c r="AZ91" s="653" t="s">
        <v>1028</v>
      </c>
      <c r="BH91" s="616" t="s">
        <v>1762</v>
      </c>
      <c r="BJ91" s="616" t="s">
        <v>1763</v>
      </c>
      <c r="BL91" s="616" t="s">
        <v>1764</v>
      </c>
    </row>
    <row r="92" spans="1:66" ht="11.25" customHeight="1">
      <c r="AZ92" s="653" t="s">
        <v>1765</v>
      </c>
      <c r="BH92" s="617" t="s">
        <v>1766</v>
      </c>
      <c r="BJ92" s="617" t="s">
        <v>1767</v>
      </c>
      <c r="BL92" s="617" t="s">
        <v>1768</v>
      </c>
    </row>
    <row r="93" spans="1:66" ht="11.25" customHeight="1">
      <c r="AZ93" s="653" t="s">
        <v>1769</v>
      </c>
      <c r="BH93" s="617" t="s">
        <v>1770</v>
      </c>
      <c r="BJ93" s="617" t="s">
        <v>1771</v>
      </c>
      <c r="BL93" s="617" t="s">
        <v>1772</v>
      </c>
    </row>
    <row r="94" spans="1:66" ht="11.25" customHeight="1">
      <c r="AZ94" s="653" t="s">
        <v>1773</v>
      </c>
    </row>
    <row r="96" spans="1:66" ht="11.25" customHeight="1">
      <c r="AZ96" s="616" t="s">
        <v>1774</v>
      </c>
      <c r="BH96" s="616" t="s">
        <v>1775</v>
      </c>
      <c r="BJ96" s="616" t="s">
        <v>1776</v>
      </c>
      <c r="BL96" s="616" t="s">
        <v>1777</v>
      </c>
      <c r="BN96" s="616" t="s">
        <v>1778</v>
      </c>
    </row>
    <row r="97" spans="52:66" ht="11.25" customHeight="1">
      <c r="AZ97" s="1017" t="s">
        <v>1779</v>
      </c>
      <c r="BA97" s="364" t="s">
        <v>1780</v>
      </c>
      <c r="BH97" s="617" t="s">
        <v>1781</v>
      </c>
      <c r="BJ97" s="617" t="s">
        <v>1782</v>
      </c>
      <c r="BL97" s="617" t="s">
        <v>1783</v>
      </c>
      <c r="BN97" s="617" t="s">
        <v>1784</v>
      </c>
    </row>
    <row r="98" spans="52:66" ht="11.25" customHeight="1">
      <c r="AZ98" s="1017" t="s">
        <v>1785</v>
      </c>
      <c r="BA98" s="364" t="s">
        <v>1786</v>
      </c>
      <c r="BH98" s="617" t="s">
        <v>1787</v>
      </c>
      <c r="BJ98" s="617" t="s">
        <v>1788</v>
      </c>
      <c r="BL98" s="617" t="s">
        <v>1789</v>
      </c>
      <c r="BN98" s="617" t="s">
        <v>1790</v>
      </c>
    </row>
    <row r="99" spans="52:66" ht="22.5" customHeight="1">
      <c r="AZ99" s="1017" t="s">
        <v>1791</v>
      </c>
      <c r="BA99" s="364" t="str">
        <f>"не позднее чем за "&amp;IF(TEMPLATE_SPHERE="TKO","3","10")&amp;" дней до дня проведения заседания правления"</f>
        <v>не позднее чем за 10 дней до дня проведения заседания правления</v>
      </c>
      <c r="BH99" s="617" t="s">
        <v>1792</v>
      </c>
      <c r="BJ99" s="617" t="s">
        <v>1793</v>
      </c>
      <c r="BL99" s="617" t="s">
        <v>1794</v>
      </c>
      <c r="BN99" s="617" t="s">
        <v>1795</v>
      </c>
    </row>
    <row r="100" spans="52:66" ht="22.5" customHeight="1">
      <c r="AZ100" s="1017" t="s">
        <v>1796</v>
      </c>
      <c r="BA100" s="36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617" t="s">
        <v>1386</v>
      </c>
      <c r="BL100" s="617" t="s">
        <v>1386</v>
      </c>
      <c r="BN100" s="617" t="s">
        <v>1797</v>
      </c>
    </row>
    <row r="101" spans="52:66" ht="22.5" customHeight="1">
      <c r="AZ101" s="1017" t="s">
        <v>1798</v>
      </c>
      <c r="BA101" s="364" t="s">
        <v>1799</v>
      </c>
      <c r="BN101" s="617" t="s">
        <v>1800</v>
      </c>
    </row>
    <row r="102" spans="52:66" ht="22.5" customHeight="1">
      <c r="AZ102" s="1017" t="s">
        <v>1801</v>
      </c>
      <c r="BA102" s="36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617" t="s">
        <v>1802</v>
      </c>
    </row>
    <row r="103" spans="52:66" ht="11.25" customHeight="1">
      <c r="AZ103" s="1017" t="s">
        <v>1803</v>
      </c>
      <c r="BA103" s="364" t="s">
        <v>1804</v>
      </c>
      <c r="BN103" s="617" t="s">
        <v>1805</v>
      </c>
    </row>
    <row r="104" spans="52:66" ht="11.25" customHeight="1">
      <c r="BN104" s="617" t="s">
        <v>1806</v>
      </c>
    </row>
    <row r="105" spans="52:66" ht="11.25" customHeight="1">
      <c r="AZ105" s="616" t="s">
        <v>1807</v>
      </c>
    </row>
    <row r="106" spans="52:66" ht="11.25" customHeight="1">
      <c r="AZ106" s="653" t="s">
        <v>1808</v>
      </c>
    </row>
    <row r="107" spans="52:66" ht="11.25" customHeight="1">
      <c r="AZ107" s="653" t="s">
        <v>1809</v>
      </c>
      <c r="BH107" s="616" t="s">
        <v>1810</v>
      </c>
      <c r="BJ107" s="616" t="s">
        <v>1811</v>
      </c>
      <c r="BL107" s="616" t="s">
        <v>1812</v>
      </c>
      <c r="BN107" s="616" t="s">
        <v>1813</v>
      </c>
    </row>
    <row r="108" spans="52:66" ht="11.25" customHeight="1">
      <c r="AZ108" s="653" t="s">
        <v>570</v>
      </c>
      <c r="BH108" s="617" t="s">
        <v>1814</v>
      </c>
      <c r="BJ108" s="617" t="s">
        <v>1815</v>
      </c>
      <c r="BL108" s="617" t="s">
        <v>1471</v>
      </c>
      <c r="BN108" s="617" t="s">
        <v>1816</v>
      </c>
    </row>
    <row r="109" spans="52:66" ht="11.25" customHeight="1">
      <c r="BH109" s="617" t="s">
        <v>1817</v>
      </c>
    </row>
    <row r="110" spans="52:66" ht="11.25" customHeight="1">
      <c r="AZ110" s="616" t="s">
        <v>1818</v>
      </c>
      <c r="BH110" s="617" t="s">
        <v>1817</v>
      </c>
    </row>
    <row r="111" spans="52:66" ht="11.25" customHeight="1">
      <c r="AZ111" s="1017" t="s">
        <v>1779</v>
      </c>
      <c r="BA111" s="364" t="s">
        <v>1780</v>
      </c>
    </row>
    <row r="112" spans="52:66" ht="11.25" customHeight="1">
      <c r="AZ112" s="1017" t="s">
        <v>1785</v>
      </c>
      <c r="BA112" s="364" t="s">
        <v>1786</v>
      </c>
    </row>
    <row r="113" spans="52:60" ht="22.5" customHeight="1">
      <c r="AZ113" s="1017" t="s">
        <v>1791</v>
      </c>
      <c r="BA113" s="36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17" t="s">
        <v>1796</v>
      </c>
      <c r="BA114" s="36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616" t="s">
        <v>1819</v>
      </c>
    </row>
    <row r="115" spans="52:60" ht="22.5" customHeight="1">
      <c r="AZ115" s="1017" t="s">
        <v>1801</v>
      </c>
      <c r="BA115" s="36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617" t="s">
        <v>1190</v>
      </c>
    </row>
    <row r="116" spans="52:60" ht="11.25" customHeight="1">
      <c r="AZ116" s="1017" t="s">
        <v>1803</v>
      </c>
      <c r="BA116" s="364" t="s">
        <v>1804</v>
      </c>
      <c r="BH116" s="617" t="s">
        <v>1217</v>
      </c>
    </row>
    <row r="117" spans="52:60" ht="11.25" customHeight="1">
      <c r="BH117" s="617" t="s">
        <v>1251</v>
      </c>
    </row>
    <row r="118" spans="52:60" ht="11.25" customHeight="1">
      <c r="BH118" s="617" t="s">
        <v>1284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0FABE-5A13-35C8-17F1-361BDCF5C752}">
  <dimension ref="A1:I24"/>
  <sheetViews>
    <sheetView showGridLines="0" topLeftCell="C4" zoomScale="90" workbookViewId="0"/>
  </sheetViews>
  <sheetFormatPr defaultColWidth="9.140625" defaultRowHeight="11.25" customHeight="1"/>
  <cols>
    <col min="1" max="2" width="15" style="286" hidden="1" customWidth="1"/>
    <col min="3" max="3" width="3.7109375" style="252" customWidth="1"/>
    <col min="4" max="4" width="6.85546875" style="253" customWidth="1"/>
    <col min="5" max="5" width="52.28515625" style="252" customWidth="1"/>
    <col min="6" max="6" width="48.85546875" style="252" customWidth="1"/>
    <col min="7" max="7" width="93.42578125" style="252" customWidth="1"/>
    <col min="8" max="8" width="9.140625" style="252"/>
    <col min="9" max="9" width="65" style="252" customWidth="1"/>
  </cols>
  <sheetData>
    <row r="1" spans="1:9" ht="11.25" hidden="1" customHeight="1">
      <c r="A1" s="286" t="s">
        <v>298</v>
      </c>
    </row>
    <row r="2" spans="1:9" ht="22.5" hidden="1" customHeight="1">
      <c r="A2" s="287"/>
      <c r="B2" s="287"/>
      <c r="C2" s="929" t="s">
        <v>117</v>
      </c>
      <c r="D2" s="825"/>
      <c r="E2" s="215"/>
      <c r="F2" s="846"/>
      <c r="H2" s="268"/>
    </row>
    <row r="3" spans="1:9" ht="11.25" hidden="1" customHeight="1"/>
    <row r="4" spans="1:9" ht="11.25" customHeight="1">
      <c r="A4" s="847"/>
      <c r="B4" s="847"/>
    </row>
    <row r="5" spans="1:9" ht="26.25" customHeight="1">
      <c r="D5" s="11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140"/>
      <c r="F5" s="1141"/>
      <c r="I5" s="404"/>
    </row>
    <row r="6" spans="1:9" ht="17.25" customHeight="1">
      <c r="D6" s="1194" t="str">
        <f>IF(region_name=0,"Не определено",region_name)</f>
        <v>Мурманская область</v>
      </c>
      <c r="E6" s="1194"/>
      <c r="F6" s="1194"/>
      <c r="I6" s="404"/>
    </row>
    <row r="7" spans="1:9" s="270" customFormat="1" ht="11.25" customHeight="1">
      <c r="A7" s="286"/>
      <c r="B7" s="286"/>
      <c r="D7" s="403"/>
      <c r="E7" s="403"/>
      <c r="F7" s="426"/>
      <c r="G7" s="403"/>
    </row>
    <row r="8" spans="1:9" ht="11.25" hidden="1" customHeight="1">
      <c r="A8" s="287"/>
      <c r="B8" s="287"/>
      <c r="C8" s="11"/>
      <c r="D8" s="15"/>
      <c r="E8" s="1222"/>
      <c r="F8" s="1222"/>
    </row>
    <row r="9" spans="1:9" ht="11.25" customHeight="1">
      <c r="A9" s="287"/>
      <c r="B9" s="287"/>
      <c r="C9" s="11"/>
      <c r="D9" s="1219" t="s">
        <v>299</v>
      </c>
      <c r="E9" s="1220"/>
      <c r="F9" s="1220"/>
      <c r="G9" s="1223" t="s">
        <v>300</v>
      </c>
    </row>
    <row r="10" spans="1:9" ht="11.25" customHeight="1">
      <c r="A10" s="287"/>
      <c r="B10" s="287"/>
      <c r="C10" s="11"/>
      <c r="D10" s="266" t="s">
        <v>84</v>
      </c>
      <c r="E10" s="250" t="s">
        <v>301</v>
      </c>
      <c r="F10" s="250" t="s">
        <v>302</v>
      </c>
      <c r="G10" s="1224"/>
    </row>
    <row r="11" spans="1:9" ht="0.75" customHeight="1">
      <c r="A11" s="287"/>
      <c r="B11" s="287"/>
      <c r="C11" s="11"/>
      <c r="D11" s="259"/>
      <c r="E11" s="259"/>
      <c r="F11" s="259"/>
      <c r="G11" s="259"/>
    </row>
    <row r="12" spans="1:9" ht="22.5" customHeight="1">
      <c r="A12" s="287"/>
      <c r="B12" s="287"/>
      <c r="C12" s="11"/>
      <c r="D12" s="825">
        <v>1</v>
      </c>
      <c r="E12" s="26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019" t="str">
        <f>IF(org="","",org)</f>
        <v>АО "ХТК"</v>
      </c>
      <c r="G12" s="26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831"/>
    </row>
    <row r="13" spans="1:9" ht="18.75" customHeight="1">
      <c r="A13" s="287"/>
      <c r="B13" s="287"/>
      <c r="C13" s="11"/>
      <c r="D13" s="825">
        <v>2</v>
      </c>
      <c r="E13" s="698" t="s">
        <v>1820</v>
      </c>
      <c r="F13" s="42" t="s">
        <v>305</v>
      </c>
      <c r="G13" s="267"/>
      <c r="H13" s="831"/>
    </row>
    <row r="14" spans="1:9" ht="18.75" customHeight="1">
      <c r="A14" s="287"/>
      <c r="B14" s="287"/>
      <c r="C14" s="11"/>
      <c r="D14" s="826" t="s">
        <v>623</v>
      </c>
      <c r="E14" s="321" t="s">
        <v>1821</v>
      </c>
      <c r="F14" s="215"/>
      <c r="G14" s="67" t="s">
        <v>1822</v>
      </c>
      <c r="H14" s="831"/>
    </row>
    <row r="15" spans="1:9" ht="18.75" customHeight="1">
      <c r="A15" s="287"/>
      <c r="B15" s="287"/>
      <c r="C15" s="11"/>
      <c r="D15" s="826" t="s">
        <v>306</v>
      </c>
      <c r="E15" s="321" t="s">
        <v>1823</v>
      </c>
      <c r="F15" s="215"/>
      <c r="G15" s="67" t="s">
        <v>1824</v>
      </c>
      <c r="H15" s="831"/>
    </row>
    <row r="16" spans="1:9" ht="22.5" customHeight="1">
      <c r="A16" s="287"/>
      <c r="B16" s="287"/>
      <c r="C16" s="11"/>
      <c r="D16" s="826" t="s">
        <v>309</v>
      </c>
      <c r="E16" s="175" t="s">
        <v>1825</v>
      </c>
      <c r="F16" s="38"/>
      <c r="G16" s="267" t="s">
        <v>1826</v>
      </c>
      <c r="H16" s="831"/>
    </row>
    <row r="17" spans="1:9" ht="45" customHeight="1">
      <c r="A17" s="287"/>
      <c r="B17" s="287"/>
      <c r="C17" s="11"/>
      <c r="D17" s="825">
        <v>3</v>
      </c>
      <c r="E17" s="698" t="s">
        <v>1827</v>
      </c>
      <c r="F17" s="215"/>
      <c r="G17" s="267" t="s">
        <v>1828</v>
      </c>
      <c r="H17" s="831"/>
    </row>
    <row r="18" spans="1:9" ht="45" customHeight="1">
      <c r="A18" s="807">
        <v>1</v>
      </c>
      <c r="B18" s="287"/>
      <c r="C18" s="808"/>
      <c r="D18" s="825" t="s">
        <v>87</v>
      </c>
      <c r="E18" s="698" t="s">
        <v>1829</v>
      </c>
      <c r="F18" s="215"/>
      <c r="G18" s="267" t="s">
        <v>1828</v>
      </c>
      <c r="H18" s="831"/>
      <c r="I18" s="480"/>
    </row>
    <row r="19" spans="1:9" ht="22.5" customHeight="1">
      <c r="A19" s="287"/>
      <c r="B19" s="287"/>
      <c r="C19" s="11"/>
      <c r="D19" s="825" t="s">
        <v>107</v>
      </c>
      <c r="E19" s="698" t="s">
        <v>1830</v>
      </c>
      <c r="F19" s="42" t="s">
        <v>305</v>
      </c>
      <c r="G19" s="1467" t="s">
        <v>1831</v>
      </c>
      <c r="H19" s="268"/>
    </row>
    <row r="20" spans="1:9" s="829" customFormat="1" ht="5.25" hidden="1" customHeight="1">
      <c r="A20" s="287"/>
      <c r="B20" s="287"/>
      <c r="C20" s="828"/>
      <c r="D20" s="827" t="s">
        <v>1092</v>
      </c>
      <c r="E20" s="582"/>
      <c r="F20" s="314"/>
      <c r="G20" s="1468"/>
    </row>
    <row r="21" spans="1:9" ht="15" customHeight="1">
      <c r="A21" s="287"/>
      <c r="B21" s="287"/>
      <c r="C21" s="11"/>
      <c r="D21" s="261"/>
      <c r="E21" s="108" t="s">
        <v>338</v>
      </c>
      <c r="F21" s="263"/>
      <c r="G21" s="1469"/>
      <c r="H21" s="831"/>
    </row>
    <row r="22" spans="1:9" s="286" customFormat="1" ht="24.75" customHeight="1">
      <c r="A22" s="287"/>
      <c r="B22" s="287"/>
      <c r="C22" s="287"/>
      <c r="D22" s="825" t="s">
        <v>88</v>
      </c>
      <c r="E22" s="267" t="s">
        <v>1832</v>
      </c>
      <c r="F22" s="215"/>
      <c r="G22" s="267" t="s">
        <v>1833</v>
      </c>
      <c r="H22" s="830"/>
    </row>
    <row r="23" spans="1:9" s="286" customFormat="1" ht="18.75" customHeight="1">
      <c r="A23" s="287"/>
      <c r="B23" s="287"/>
      <c r="C23" s="287"/>
      <c r="D23" s="825" t="s">
        <v>89</v>
      </c>
      <c r="E23" s="698" t="s">
        <v>1834</v>
      </c>
      <c r="F23" s="38"/>
      <c r="G23" s="267" t="s">
        <v>1835</v>
      </c>
      <c r="H23" s="830"/>
    </row>
    <row r="24" spans="1:9" s="286" customFormat="1" ht="144" hidden="1" customHeight="1">
      <c r="A24" s="287"/>
      <c r="B24" s="287"/>
      <c r="C24" s="287"/>
      <c r="D24" s="825" t="s">
        <v>108</v>
      </c>
      <c r="E24" s="101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015"/>
      <c r="G24" s="101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830"/>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xr:uid="{00000000-0002-0000-31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1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35728-EF96-3AC7-3B8B-1306BF5E799D}">
  <dimension ref="A1:IT23"/>
  <sheetViews>
    <sheetView showGridLines="0" topLeftCell="D4" zoomScale="90" workbookViewId="0"/>
  </sheetViews>
  <sheetFormatPr defaultColWidth="9.140625" defaultRowHeight="14.25" customHeight="1"/>
  <cols>
    <col min="1" max="1" width="9.140625" style="12" hidden="1"/>
    <col min="2" max="2" width="9.140625" style="63" hidden="1"/>
    <col min="3" max="3" width="3.7109375" style="12" hidden="1" customWidth="1"/>
    <col min="4" max="4" width="3.85546875" style="76" customWidth="1"/>
    <col min="5" max="5" width="6.28515625" style="12" customWidth="1"/>
    <col min="6" max="6" width="46.7109375" style="12" customWidth="1"/>
    <col min="7" max="8" width="16.7109375" style="12" customWidth="1"/>
    <col min="9" max="9" width="35.28515625" style="12" customWidth="1"/>
    <col min="10" max="10" width="89.5703125" style="12" customWidth="1"/>
    <col min="11" max="11" width="3.7109375" style="69" customWidth="1"/>
    <col min="12" max="14" width="9.140625" style="69"/>
    <col min="15" max="15" width="25.7109375" style="69" customWidth="1"/>
    <col min="16" max="16" width="14.42578125" style="69" customWidth="1"/>
    <col min="17" max="20" width="9.140625" style="124"/>
    <col min="21" max="254" width="9.140625" style="12"/>
  </cols>
  <sheetData>
    <row r="1" spans="1:254" ht="14.25" hidden="1" customHeight="1"/>
    <row r="2" spans="1:254" ht="22.5" hidden="1" customHeight="1">
      <c r="A2" s="79"/>
      <c r="B2" s="63">
        <v>1</v>
      </c>
      <c r="C2" s="63"/>
      <c r="D2" s="1030" t="s">
        <v>117</v>
      </c>
      <c r="E2" s="42"/>
      <c r="F2" s="111"/>
      <c r="G2" s="111"/>
      <c r="H2" s="111"/>
      <c r="I2" s="1044"/>
      <c r="J2" s="1045"/>
      <c r="K2" s="833"/>
      <c r="L2" s="68"/>
      <c r="M2" s="68"/>
      <c r="N2" s="69" t="str">
        <f t="array" ref="N2">IF(ISERROR(MATCH(MID(O2,1,250),MID(note_ter,1,250),0)),"n","y")</f>
        <v>n</v>
      </c>
      <c r="O2" s="68"/>
      <c r="P2" s="69" t="str">
        <f>G2&amp;"("&amp;J2&amp;")"</f>
        <v>()</v>
      </c>
      <c r="Q2" s="63"/>
      <c r="R2" s="63"/>
      <c r="S2" s="234"/>
      <c r="T2" s="63"/>
      <c r="U2" s="63"/>
      <c r="V2" s="63"/>
      <c r="W2" s="62"/>
      <c r="X2" s="6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row>
    <row r="3" spans="1:254" s="68" customFormat="1" ht="5.25" hidden="1" customHeight="1">
      <c r="A3" s="201"/>
      <c r="D3" s="120"/>
      <c r="F3" s="143" t="s">
        <v>79</v>
      </c>
      <c r="G3" s="120" t="s">
        <v>80</v>
      </c>
      <c r="H3" s="120"/>
      <c r="I3" s="120"/>
      <c r="J3" s="125" t="s">
        <v>81</v>
      </c>
      <c r="K3" s="143" t="s">
        <v>79</v>
      </c>
      <c r="L3" s="143"/>
      <c r="M3" s="143"/>
      <c r="N3" s="143"/>
      <c r="O3" s="143"/>
      <c r="P3" s="143"/>
      <c r="Q3" s="143"/>
      <c r="R3" s="143"/>
      <c r="S3" s="143"/>
      <c r="T3" s="143"/>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row>
    <row r="4" spans="1:254" s="46" customFormat="1" ht="14.25" customHeight="1">
      <c r="A4" s="12"/>
      <c r="B4" s="63"/>
      <c r="C4" s="12"/>
      <c r="D4" s="76"/>
      <c r="E4" s="12"/>
      <c r="F4" s="68"/>
      <c r="G4" s="12"/>
      <c r="H4" s="12"/>
      <c r="I4" s="12"/>
      <c r="J4" s="77"/>
      <c r="K4" s="143"/>
      <c r="L4" s="69"/>
      <c r="M4" s="69"/>
      <c r="N4" s="69"/>
      <c r="O4" s="69"/>
      <c r="P4" s="69"/>
      <c r="Q4" s="124"/>
      <c r="R4" s="124"/>
      <c r="S4" s="124"/>
      <c r="T4" s="124"/>
    </row>
    <row r="5" spans="1:254" s="46" customFormat="1" ht="25.5" customHeight="1">
      <c r="A5" s="12"/>
      <c r="B5" s="63"/>
      <c r="C5" s="12"/>
      <c r="D5" s="76"/>
      <c r="E5" s="112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121"/>
      <c r="G5" s="1121"/>
      <c r="H5" s="1121"/>
      <c r="I5" s="1121"/>
      <c r="J5" s="1121"/>
      <c r="K5" s="143"/>
      <c r="L5" s="69"/>
      <c r="M5" s="69"/>
      <c r="N5" s="69"/>
      <c r="O5" s="69"/>
      <c r="P5" s="69"/>
      <c r="Q5" s="124"/>
      <c r="R5" s="124"/>
      <c r="S5" s="124"/>
      <c r="T5" s="124"/>
    </row>
    <row r="6" spans="1:254" s="46" customFormat="1" ht="14.25" customHeight="1">
      <c r="A6" s="12"/>
      <c r="B6" s="63"/>
      <c r="C6" s="12"/>
      <c r="D6" s="76"/>
      <c r="E6" s="12"/>
      <c r="F6" s="78"/>
      <c r="G6" s="78"/>
      <c r="H6" s="78"/>
      <c r="I6" s="78"/>
      <c r="J6" s="79"/>
      <c r="K6" s="69"/>
      <c r="L6" s="69"/>
      <c r="M6" s="69"/>
      <c r="N6" s="69"/>
      <c r="O6" s="69"/>
      <c r="P6" s="69"/>
      <c r="Q6" s="124"/>
      <c r="R6" s="124"/>
      <c r="S6" s="124"/>
      <c r="T6" s="124"/>
    </row>
    <row r="7" spans="1:254" s="46" customFormat="1" ht="14.25" customHeight="1">
      <c r="A7" s="12"/>
      <c r="B7" s="63"/>
      <c r="C7" s="12"/>
      <c r="D7" s="76"/>
      <c r="E7" s="1117" t="s">
        <v>299</v>
      </c>
      <c r="F7" s="1122"/>
      <c r="G7" s="1122"/>
      <c r="H7" s="1122"/>
      <c r="I7" s="1122"/>
      <c r="J7" s="1470" t="s">
        <v>300</v>
      </c>
      <c r="K7" s="69"/>
      <c r="L7" s="69"/>
      <c r="M7" s="69"/>
      <c r="N7" s="69"/>
      <c r="O7" s="69"/>
      <c r="P7" s="69"/>
      <c r="Q7" s="124"/>
      <c r="R7" s="124"/>
      <c r="S7" s="124"/>
      <c r="T7" s="124"/>
    </row>
    <row r="8" spans="1:254" s="46" customFormat="1" ht="20.25" customHeight="1">
      <c r="A8" s="12"/>
      <c r="B8" s="63"/>
      <c r="C8" s="12"/>
      <c r="D8" s="76"/>
      <c r="E8" s="845" t="s">
        <v>84</v>
      </c>
      <c r="F8" s="838" t="s">
        <v>1836</v>
      </c>
      <c r="G8" s="838" t="s">
        <v>43</v>
      </c>
      <c r="H8" s="838" t="s">
        <v>45</v>
      </c>
      <c r="I8" s="838" t="s">
        <v>1837</v>
      </c>
      <c r="J8" s="1471"/>
      <c r="K8" s="69"/>
      <c r="L8" s="69"/>
      <c r="M8" s="69"/>
      <c r="N8" s="69"/>
      <c r="O8" s="69"/>
      <c r="P8" s="69"/>
      <c r="Q8" s="124"/>
      <c r="R8" s="124"/>
      <c r="S8" s="124"/>
      <c r="T8" s="124"/>
    </row>
    <row r="9" spans="1:254" ht="22.5" customHeight="1">
      <c r="B9" s="63">
        <v>1</v>
      </c>
      <c r="C9" s="63"/>
      <c r="D9" s="453"/>
      <c r="E9" s="42">
        <v>1</v>
      </c>
      <c r="F9" s="844"/>
      <c r="G9" s="111"/>
      <c r="H9" s="111"/>
      <c r="I9" s="836"/>
      <c r="J9" s="118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3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4"/>
      <c r="T9" s="63"/>
      <c r="U9" s="63"/>
      <c r="V9" s="63"/>
      <c r="W9" s="62"/>
      <c r="X9" s="6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row>
    <row r="10" spans="1:254" ht="15" customHeight="1">
      <c r="C10" s="233"/>
      <c r="D10" s="453"/>
      <c r="E10" s="839"/>
      <c r="F10" s="813" t="s">
        <v>1838</v>
      </c>
      <c r="G10" s="840"/>
      <c r="H10" s="840"/>
      <c r="I10" s="1016"/>
      <c r="J10" s="1189"/>
      <c r="K10" s="834"/>
      <c r="L10" s="68"/>
      <c r="M10" s="68"/>
      <c r="N10" s="68"/>
      <c r="P10" s="68"/>
      <c r="Q10" s="63"/>
      <c r="R10" s="63"/>
      <c r="S10" s="234"/>
      <c r="T10" s="63"/>
      <c r="U10" s="63"/>
      <c r="V10" s="63"/>
      <c r="W10" s="62"/>
      <c r="X10" s="6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spans="1:254" s="46" customFormat="1" ht="21" customHeight="1">
      <c r="A11" s="12"/>
      <c r="B11" s="63"/>
      <c r="C11" s="12"/>
      <c r="D11" s="76"/>
      <c r="E11" s="90"/>
      <c r="F11" s="90"/>
      <c r="G11" s="90"/>
      <c r="H11" s="90"/>
      <c r="I11" s="90"/>
      <c r="J11" s="90"/>
      <c r="K11" s="69"/>
      <c r="L11" s="69"/>
      <c r="M11" s="69"/>
      <c r="N11" s="69"/>
      <c r="O11" s="69"/>
      <c r="P11" s="69"/>
      <c r="Q11" s="124"/>
      <c r="R11" s="124"/>
      <c r="S11" s="124"/>
      <c r="T11" s="124"/>
    </row>
    <row r="12" spans="1:254" s="46" customFormat="1" ht="14.25" customHeight="1">
      <c r="A12" s="12"/>
      <c r="B12" s="63"/>
      <c r="C12" s="12"/>
      <c r="D12" s="76"/>
      <c r="E12" s="12"/>
      <c r="F12" s="12"/>
      <c r="G12" s="12"/>
      <c r="H12" s="12"/>
      <c r="I12" s="12"/>
      <c r="J12" s="12"/>
      <c r="K12" s="69"/>
      <c r="L12" s="69"/>
      <c r="M12" s="69"/>
      <c r="N12" s="69"/>
      <c r="O12" s="69"/>
      <c r="P12" s="69"/>
      <c r="Q12" s="124"/>
      <c r="R12" s="124"/>
      <c r="S12" s="124"/>
      <c r="T12" s="124"/>
    </row>
    <row r="13" spans="1:254" s="46" customFormat="1" ht="0.75" customHeight="1">
      <c r="A13" s="12"/>
      <c r="B13" s="63"/>
      <c r="C13" s="12"/>
      <c r="D13" s="76"/>
      <c r="E13" s="12"/>
      <c r="F13" s="12"/>
      <c r="G13" s="12"/>
      <c r="H13" s="12"/>
      <c r="I13" s="12"/>
      <c r="J13" s="12"/>
      <c r="K13" s="69"/>
      <c r="L13" s="69"/>
      <c r="M13" s="69"/>
      <c r="N13" s="69"/>
      <c r="O13" s="69"/>
      <c r="P13" s="69"/>
      <c r="Q13" s="124"/>
      <c r="R13" s="124"/>
      <c r="S13" s="124"/>
      <c r="T13" s="124"/>
    </row>
    <row r="14" spans="1:254" s="91" customFormat="1" ht="10.5" customHeight="1">
      <c r="B14" s="466"/>
      <c r="D14" s="92"/>
      <c r="K14" s="69"/>
      <c r="L14" s="69"/>
      <c r="M14" s="69"/>
      <c r="N14" s="69"/>
      <c r="O14" s="69"/>
      <c r="P14" s="69"/>
      <c r="Q14" s="124"/>
      <c r="R14" s="124"/>
      <c r="S14" s="124"/>
      <c r="T14" s="124"/>
    </row>
    <row r="15" spans="1:254" s="91" customFormat="1" ht="10.5" customHeight="1">
      <c r="B15" s="466"/>
      <c r="D15" s="92"/>
      <c r="K15" s="69"/>
      <c r="L15" s="69"/>
      <c r="M15" s="69"/>
      <c r="N15" s="69"/>
      <c r="O15" s="69"/>
      <c r="P15" s="69"/>
      <c r="Q15" s="124"/>
      <c r="R15" s="124"/>
      <c r="S15" s="124"/>
      <c r="T15" s="124"/>
    </row>
    <row r="19" spans="7:13" ht="14.25" customHeight="1">
      <c r="G19"/>
      <c r="H19"/>
      <c r="I19"/>
    </row>
    <row r="23" spans="7:13" ht="14.25" customHeight="1">
      <c r="K23" s="12"/>
      <c r="L23" s="12"/>
      <c r="M23" s="12"/>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200-000000000000}">
      <formula1>13</formula1>
      <formula2>15</formula2>
    </dataValidation>
    <dataValidation type="textLength" allowBlank="1" showInputMessage="1" showErrorMessage="1" sqref="I3" xr:uid="{00000000-0002-0000-32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B7CB1-ECE4-D598-55D6-ADF69DD6498B}">
  <dimension ref="A1:IV14"/>
  <sheetViews>
    <sheetView showGridLines="0" topLeftCell="D4" zoomScale="90" workbookViewId="0"/>
  </sheetViews>
  <sheetFormatPr defaultColWidth="9.140625" defaultRowHeight="14.25" customHeight="1"/>
  <cols>
    <col min="1" max="1" width="9.140625" style="12" hidden="1"/>
    <col min="2" max="2" width="9.140625" style="63" hidden="1"/>
    <col min="3" max="3" width="3.7109375" style="12" hidden="1" customWidth="1"/>
    <col min="4" max="4" width="3.85546875" style="76" customWidth="1"/>
    <col min="5" max="5" width="6.28515625" style="12" customWidth="1"/>
    <col min="6" max="6" width="27.28515625" style="12" customWidth="1"/>
    <col min="7" max="7" width="16.7109375" style="12" customWidth="1"/>
    <col min="8" max="8" width="12.7109375" style="12" customWidth="1"/>
    <col min="9" max="9" width="32.140625" style="12" customWidth="1"/>
    <col min="10" max="11" width="41.85546875" style="12" customWidth="1"/>
    <col min="12" max="12" width="89.5703125" style="12" customWidth="1"/>
    <col min="13" max="13" width="3.7109375" style="69" customWidth="1"/>
    <col min="14" max="16" width="9.140625" style="69"/>
    <col min="17" max="17" width="25.7109375" style="69" customWidth="1"/>
    <col min="18" max="18" width="14.42578125" style="69" customWidth="1"/>
    <col min="19" max="22" width="9.140625" style="124"/>
    <col min="23" max="256" width="9.140625" style="12"/>
  </cols>
  <sheetData>
    <row r="1" spans="1:256" ht="14.25" hidden="1" customHeight="1"/>
    <row r="2" spans="1:256" ht="22.5" hidden="1" customHeight="1">
      <c r="A2" s="79"/>
      <c r="B2" s="63">
        <v>1</v>
      </c>
      <c r="C2" s="63"/>
      <c r="D2" s="1030" t="s">
        <v>117</v>
      </c>
      <c r="E2" s="380"/>
      <c r="F2" s="1012" t="str">
        <f>IF(ROIV_INFO_NAME="","",ROIV_INFO_NAME)</f>
        <v>АО "ХТК"</v>
      </c>
      <c r="G2" s="1024" t="s">
        <v>18</v>
      </c>
      <c r="H2" s="1023"/>
      <c r="I2" s="836"/>
      <c r="J2" s="226"/>
      <c r="K2" s="226"/>
      <c r="L2" s="126"/>
      <c r="M2" s="833" t="e">
        <f ca="1">MERGEVALUE(F2)</f>
        <v>#NAME?</v>
      </c>
      <c r="N2" s="68"/>
      <c r="O2" s="68"/>
      <c r="P2" s="69" t="str">
        <f t="array" ref="P2">IF(ISERROR(MATCH(MID(Q2,1,250),MID(note_ter,1,250),0)),"n","y")</f>
        <v>n</v>
      </c>
      <c r="Q2" s="68"/>
      <c r="R2" s="69" t="str">
        <f>G2&amp;"("&amp;L2&amp;")"</f>
        <v>()</v>
      </c>
      <c r="S2" s="63"/>
      <c r="T2" s="63"/>
      <c r="U2" s="234"/>
      <c r="V2" s="63"/>
      <c r="W2" s="63"/>
      <c r="X2" s="63"/>
      <c r="Y2" s="62"/>
      <c r="Z2" s="6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68" customFormat="1" ht="5.25" hidden="1" customHeight="1">
      <c r="A3" s="201"/>
      <c r="D3" s="120"/>
      <c r="F3" s="143" t="s">
        <v>79</v>
      </c>
      <c r="G3" s="934" t="s">
        <v>80</v>
      </c>
      <c r="H3" s="120"/>
      <c r="I3" s="120"/>
      <c r="J3" s="120"/>
      <c r="K3" s="120"/>
      <c r="L3" s="125" t="s">
        <v>81</v>
      </c>
      <c r="M3" s="143" t="s">
        <v>79</v>
      </c>
      <c r="N3" s="143"/>
      <c r="O3" s="143"/>
      <c r="P3" s="143"/>
      <c r="Q3" s="143"/>
      <c r="R3" s="143"/>
      <c r="S3" s="143"/>
      <c r="T3" s="143"/>
      <c r="U3" s="143"/>
      <c r="V3" s="143"/>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row>
    <row r="4" spans="1:256" s="46" customFormat="1" ht="14.25" customHeight="1">
      <c r="A4" s="12"/>
      <c r="B4" s="63"/>
      <c r="C4" s="12"/>
      <c r="D4" s="76"/>
      <c r="E4" s="12"/>
      <c r="F4" s="12"/>
      <c r="G4" s="12"/>
      <c r="H4" s="12"/>
      <c r="I4" s="12"/>
      <c r="J4" s="12"/>
      <c r="K4" s="12"/>
      <c r="L4" s="77"/>
      <c r="M4" s="143"/>
      <c r="N4" s="69"/>
      <c r="O4" s="69"/>
      <c r="P4" s="69"/>
      <c r="Q4" s="69"/>
      <c r="R4" s="69"/>
      <c r="S4" s="124"/>
      <c r="T4" s="124"/>
      <c r="U4" s="124"/>
      <c r="V4" s="124"/>
    </row>
    <row r="5" spans="1:256" s="46" customFormat="1" ht="25.5" customHeight="1">
      <c r="A5" s="12"/>
      <c r="B5" s="63"/>
      <c r="C5" s="12"/>
      <c r="D5" s="76"/>
      <c r="E5" s="112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21"/>
      <c r="G5" s="1121"/>
      <c r="H5" s="1121"/>
      <c r="I5" s="1121"/>
      <c r="J5" s="1121"/>
      <c r="K5" s="1121"/>
      <c r="L5" s="12"/>
      <c r="M5" s="143"/>
      <c r="N5" s="69"/>
      <c r="O5" s="69"/>
      <c r="P5" s="69"/>
      <c r="Q5" s="69"/>
      <c r="R5" s="69"/>
      <c r="S5" s="124"/>
      <c r="T5" s="124"/>
      <c r="U5" s="124"/>
      <c r="V5" s="124"/>
    </row>
    <row r="6" spans="1:256" s="46" customFormat="1" ht="14.25" customHeight="1">
      <c r="A6" s="12"/>
      <c r="B6" s="63"/>
      <c r="C6" s="12"/>
      <c r="D6" s="76"/>
      <c r="E6" s="12"/>
      <c r="F6" s="78"/>
      <c r="G6" s="78"/>
      <c r="H6" s="78"/>
      <c r="I6" s="78"/>
      <c r="J6" s="78"/>
      <c r="K6" s="78"/>
      <c r="L6" s="79"/>
      <c r="M6" s="69"/>
      <c r="N6" s="69"/>
      <c r="O6" s="69"/>
      <c r="P6" s="69"/>
      <c r="Q6" s="69"/>
      <c r="R6" s="69"/>
      <c r="S6" s="124"/>
      <c r="T6" s="124"/>
      <c r="U6" s="124"/>
      <c r="V6" s="124"/>
    </row>
    <row r="7" spans="1:256" s="46" customFormat="1" ht="14.25" customHeight="1">
      <c r="A7" s="12"/>
      <c r="B7" s="63"/>
      <c r="C7" s="12"/>
      <c r="D7" s="76"/>
      <c r="E7" s="1117" t="s">
        <v>299</v>
      </c>
      <c r="F7" s="1122"/>
      <c r="G7" s="1122"/>
      <c r="H7" s="1122"/>
      <c r="I7" s="1122"/>
      <c r="J7" s="1122"/>
      <c r="K7" s="1122"/>
      <c r="L7" s="1470" t="s">
        <v>300</v>
      </c>
      <c r="M7" s="69"/>
      <c r="N7" s="69"/>
      <c r="O7" s="69"/>
      <c r="P7" s="69"/>
      <c r="Q7" s="69"/>
      <c r="R7" s="69"/>
      <c r="S7" s="124"/>
      <c r="T7" s="124"/>
      <c r="U7" s="124"/>
      <c r="V7" s="124"/>
    </row>
    <row r="8" spans="1:256" s="46" customFormat="1" ht="64.5" customHeight="1">
      <c r="A8" s="12"/>
      <c r="B8" s="63"/>
      <c r="C8" s="12"/>
      <c r="D8" s="76"/>
      <c r="E8" s="1474" t="s">
        <v>84</v>
      </c>
      <c r="F8" s="147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47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477"/>
      <c r="I8" s="1478"/>
      <c r="J8" s="147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47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72"/>
      <c r="M8" s="69"/>
      <c r="N8" s="69"/>
      <c r="O8" s="69"/>
      <c r="P8" s="69"/>
      <c r="Q8" s="69"/>
      <c r="R8" s="69"/>
      <c r="S8" s="124"/>
      <c r="T8" s="124"/>
      <c r="U8" s="124"/>
      <c r="V8" s="124"/>
    </row>
    <row r="9" spans="1:256" s="46" customFormat="1" ht="27.75" customHeight="1">
      <c r="A9" s="12"/>
      <c r="B9" s="63"/>
      <c r="C9" s="12"/>
      <c r="D9" s="76"/>
      <c r="E9" s="1475"/>
      <c r="F9" s="1475"/>
      <c r="G9" s="835" t="s">
        <v>1839</v>
      </c>
      <c r="H9" s="835" t="s">
        <v>1840</v>
      </c>
      <c r="I9" s="835" t="s">
        <v>1841</v>
      </c>
      <c r="J9" s="1475"/>
      <c r="K9" s="1475"/>
      <c r="L9" s="1471"/>
      <c r="M9" s="69"/>
      <c r="N9" s="69"/>
      <c r="O9" s="69"/>
      <c r="P9" s="69"/>
      <c r="Q9" s="69"/>
      <c r="R9" s="69"/>
      <c r="S9" s="124"/>
      <c r="T9" s="124"/>
      <c r="U9" s="124"/>
      <c r="V9" s="124"/>
    </row>
    <row r="10" spans="1:256" ht="22.5" customHeight="1">
      <c r="A10" s="1120"/>
      <c r="B10" s="63">
        <v>1</v>
      </c>
      <c r="C10" s="63"/>
      <c r="D10" s="452"/>
      <c r="E10" s="438">
        <v>1</v>
      </c>
      <c r="F10" s="837" t="str">
        <f>IF(ROIV_INFO_NAME="","",ROIV_INFO_NAME)</f>
        <v>АО "ХТК"</v>
      </c>
      <c r="G10" s="931" t="s">
        <v>18</v>
      </c>
      <c r="H10" s="1023"/>
      <c r="I10" s="832"/>
      <c r="J10" s="226"/>
      <c r="K10" s="226"/>
      <c r="L10" s="1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3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4"/>
      <c r="V10" s="63"/>
      <c r="W10" s="63"/>
      <c r="X10" s="63"/>
      <c r="Y10" s="62"/>
      <c r="Z10" s="6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s="1120"/>
      <c r="C11" s="233"/>
      <c r="D11" s="453"/>
      <c r="E11" s="235"/>
      <c r="F11" s="53" t="s">
        <v>1842</v>
      </c>
      <c r="G11" s="95"/>
      <c r="H11" s="95"/>
      <c r="I11" s="95"/>
      <c r="J11" s="95"/>
      <c r="K11" s="236"/>
      <c r="L11" s="1473"/>
      <c r="M11" s="834"/>
      <c r="N11" s="68"/>
      <c r="O11" s="68"/>
      <c r="P11" s="68"/>
      <c r="R11" s="68"/>
      <c r="S11" s="63"/>
      <c r="T11" s="63"/>
      <c r="U11" s="234"/>
      <c r="V11" s="63"/>
      <c r="W11" s="63"/>
      <c r="X11" s="63"/>
      <c r="Y11" s="62"/>
      <c r="Z11" s="6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46" customFormat="1" ht="21" customHeight="1">
      <c r="A12" s="12"/>
      <c r="B12" s="63"/>
      <c r="C12" s="12"/>
      <c r="D12" s="76"/>
      <c r="E12" s="90"/>
      <c r="F12" s="90"/>
      <c r="G12" s="90"/>
      <c r="H12" s="90"/>
      <c r="I12" s="90"/>
      <c r="J12" s="90"/>
      <c r="K12" s="90"/>
      <c r="L12" s="90"/>
      <c r="M12" s="69"/>
      <c r="N12" s="69"/>
      <c r="O12" s="69"/>
      <c r="P12" s="69"/>
      <c r="Q12" s="69"/>
      <c r="R12" s="69"/>
      <c r="S12" s="124"/>
      <c r="T12" s="124"/>
      <c r="U12" s="124"/>
      <c r="V12" s="124"/>
    </row>
    <row r="13" spans="1:256" s="46" customFormat="1" ht="14.25" customHeight="1">
      <c r="A13" s="12"/>
      <c r="B13" s="63"/>
      <c r="C13" s="12"/>
      <c r="D13" s="76"/>
      <c r="E13" s="12"/>
      <c r="F13" s="12"/>
      <c r="G13" s="12"/>
      <c r="H13" s="12"/>
      <c r="I13" s="12"/>
      <c r="J13" s="12"/>
      <c r="K13" s="12"/>
      <c r="L13" s="12"/>
      <c r="M13" s="69"/>
      <c r="N13" s="69"/>
      <c r="O13" s="69"/>
      <c r="P13" s="69"/>
      <c r="Q13" s="69"/>
      <c r="R13" s="69"/>
      <c r="S13" s="124"/>
      <c r="T13" s="124"/>
      <c r="U13" s="124"/>
      <c r="V13" s="124"/>
    </row>
    <row r="14" spans="1:256" s="46" customFormat="1" ht="0.75" customHeight="1">
      <c r="A14" s="12"/>
      <c r="B14" s="63"/>
      <c r="C14" s="12"/>
      <c r="D14" s="76"/>
      <c r="E14" s="12"/>
      <c r="F14" s="12"/>
      <c r="G14" s="12"/>
      <c r="H14" s="12"/>
      <c r="I14" s="12"/>
      <c r="J14" s="12"/>
      <c r="K14" s="12"/>
      <c r="L14" s="12"/>
      <c r="M14" s="69"/>
      <c r="N14" s="69"/>
      <c r="O14" s="69"/>
      <c r="P14" s="69"/>
      <c r="Q14" s="69"/>
      <c r="R14" s="69"/>
      <c r="S14" s="124"/>
      <c r="T14" s="124"/>
      <c r="U14" s="124"/>
      <c r="V14" s="124"/>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300-000000000000}">
      <formula1>990</formula1>
    </dataValidation>
    <dataValidation type="time" allowBlank="1" showInputMessage="1" showErrorMessage="1" prompt="Укажите время в формате ЧЧ:ММ" sqref="H10 H2" xr:uid="{00000000-0002-0000-33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3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300-000003000000}"/>
    <dataValidation type="textLength" allowBlank="1" showInputMessage="1" showErrorMessage="1" sqref="H3:I3" xr:uid="{00000000-0002-0000-33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AB0B7-8184-10AD-722C-7B6E79687405}">
  <dimension ref="A1:IV14"/>
  <sheetViews>
    <sheetView showGridLines="0" topLeftCell="D4" zoomScale="90" workbookViewId="0"/>
  </sheetViews>
  <sheetFormatPr defaultColWidth="9.140625" defaultRowHeight="14.25" customHeight="1"/>
  <cols>
    <col min="1" max="1" width="9.140625" style="12" hidden="1"/>
    <col min="2" max="2" width="9.140625" style="63" hidden="1"/>
    <col min="3" max="3" width="3.7109375" style="12" hidden="1" customWidth="1"/>
    <col min="4" max="4" width="3.85546875" style="76" customWidth="1"/>
    <col min="5" max="5" width="6.28515625" style="12" customWidth="1"/>
    <col min="6" max="6" width="27.28515625" style="12" customWidth="1"/>
    <col min="7" max="7" width="16.7109375" style="12" customWidth="1"/>
    <col min="8" max="8" width="12.7109375" style="12" customWidth="1"/>
    <col min="9" max="9" width="32.140625" style="12" customWidth="1"/>
    <col min="10" max="11" width="41.85546875" style="12" customWidth="1"/>
    <col min="12" max="12" width="89.5703125" style="12" customWidth="1"/>
    <col min="13" max="13" width="3.7109375" style="69" customWidth="1"/>
    <col min="14" max="16" width="9.140625" style="69"/>
    <col min="17" max="17" width="25.7109375" style="69" customWidth="1"/>
    <col min="18" max="18" width="14.42578125" style="69" customWidth="1"/>
    <col min="19" max="22" width="9.140625" style="124"/>
    <col min="23" max="256" width="9.140625" style="12"/>
  </cols>
  <sheetData>
    <row r="1" spans="1:256" ht="14.25" hidden="1" customHeight="1"/>
    <row r="2" spans="1:256" ht="22.5" hidden="1" customHeight="1">
      <c r="A2" s="79"/>
      <c r="B2" s="63">
        <v>1</v>
      </c>
      <c r="C2" s="63"/>
      <c r="D2" s="1030" t="s">
        <v>117</v>
      </c>
      <c r="E2" s="42"/>
      <c r="F2" s="1012" t="str">
        <f>IF(ROIV_INFO_NAME="","",ROIV_INFO_NAME)</f>
        <v>АО "ХТК"</v>
      </c>
      <c r="G2" s="931" t="s">
        <v>18</v>
      </c>
      <c r="H2" s="1023"/>
      <c r="I2" s="836"/>
      <c r="J2" s="226"/>
      <c r="K2" s="226"/>
      <c r="L2" s="126"/>
      <c r="M2" s="833" t="e">
        <f ca="1">MERGEVALUE(F2)</f>
        <v>#NAME?</v>
      </c>
      <c r="N2" s="68"/>
      <c r="O2" s="68"/>
      <c r="P2" s="69" t="str">
        <f t="array" ref="P2">IF(ISERROR(MATCH(MID(Q2,1,250),MID(note_ter,1,250),0)),"n","y")</f>
        <v>n</v>
      </c>
      <c r="Q2" s="68"/>
      <c r="R2" s="69" t="str">
        <f>G2&amp;"("&amp;L2&amp;")"</f>
        <v>()</v>
      </c>
      <c r="S2" s="63"/>
      <c r="T2" s="63"/>
      <c r="U2" s="234"/>
      <c r="V2" s="63"/>
      <c r="W2" s="63"/>
      <c r="X2" s="63"/>
      <c r="Y2" s="62"/>
      <c r="Z2" s="6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68" customFormat="1" ht="5.25" hidden="1" customHeight="1">
      <c r="A3" s="201"/>
      <c r="D3" s="120"/>
      <c r="F3" s="143" t="s">
        <v>79</v>
      </c>
      <c r="G3" s="934" t="s">
        <v>80</v>
      </c>
      <c r="H3" s="120"/>
      <c r="I3" s="120"/>
      <c r="J3" s="120"/>
      <c r="K3" s="120"/>
      <c r="L3" s="125" t="s">
        <v>81</v>
      </c>
      <c r="M3" s="143" t="s">
        <v>79</v>
      </c>
      <c r="N3" s="143"/>
      <c r="O3" s="143"/>
      <c r="P3" s="143"/>
      <c r="Q3" s="143"/>
      <c r="R3" s="143"/>
      <c r="S3" s="143"/>
      <c r="T3" s="143"/>
      <c r="U3" s="143"/>
      <c r="V3" s="143"/>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row>
    <row r="4" spans="1:256" s="46" customFormat="1" ht="14.25" customHeight="1">
      <c r="A4" s="12"/>
      <c r="B4" s="63"/>
      <c r="C4" s="12"/>
      <c r="D4" s="76"/>
      <c r="E4" s="12"/>
      <c r="F4" s="12"/>
      <c r="G4" s="12"/>
      <c r="H4" s="12"/>
      <c r="I4" s="12"/>
      <c r="J4" s="12"/>
      <c r="K4" s="12"/>
      <c r="L4" s="77"/>
      <c r="M4" s="143"/>
      <c r="N4" s="69"/>
      <c r="O4" s="69"/>
      <c r="P4" s="69"/>
      <c r="Q4" s="69"/>
      <c r="R4" s="69"/>
      <c r="S4" s="124"/>
      <c r="T4" s="124"/>
      <c r="U4" s="124"/>
      <c r="V4" s="124"/>
    </row>
    <row r="5" spans="1:256" s="46" customFormat="1" ht="25.5" customHeight="1">
      <c r="A5" s="12"/>
      <c r="B5" s="63"/>
      <c r="C5" s="12"/>
      <c r="D5" s="76"/>
      <c r="E5" s="112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21"/>
      <c r="G5" s="1121"/>
      <c r="H5" s="1121"/>
      <c r="I5" s="1121"/>
      <c r="J5" s="1121"/>
      <c r="K5" s="1121"/>
      <c r="L5" s="12"/>
      <c r="M5" s="143"/>
      <c r="N5" s="69"/>
      <c r="O5" s="69"/>
      <c r="P5" s="69"/>
      <c r="Q5" s="69"/>
      <c r="R5" s="69"/>
      <c r="S5" s="124"/>
      <c r="T5" s="124"/>
      <c r="U5" s="124"/>
      <c r="V5" s="124"/>
    </row>
    <row r="6" spans="1:256" s="46" customFormat="1" ht="14.25" customHeight="1">
      <c r="A6" s="12"/>
      <c r="B6" s="63"/>
      <c r="C6" s="12"/>
      <c r="D6" s="76"/>
      <c r="E6" s="12"/>
      <c r="F6" s="78"/>
      <c r="G6" s="78"/>
      <c r="H6" s="78"/>
      <c r="I6" s="78"/>
      <c r="J6" s="78"/>
      <c r="K6" s="78"/>
      <c r="L6" s="79"/>
      <c r="M6" s="69"/>
      <c r="N6" s="69"/>
      <c r="O6" s="69"/>
      <c r="P6" s="69"/>
      <c r="Q6" s="69"/>
      <c r="R6" s="69"/>
      <c r="S6" s="124"/>
      <c r="T6" s="124"/>
      <c r="U6" s="124"/>
      <c r="V6" s="124"/>
    </row>
    <row r="7" spans="1:256" s="46" customFormat="1" ht="14.25" customHeight="1">
      <c r="A7" s="12"/>
      <c r="B7" s="63"/>
      <c r="C7" s="12"/>
      <c r="D7" s="76"/>
      <c r="E7" s="1117" t="s">
        <v>299</v>
      </c>
      <c r="F7" s="1122"/>
      <c r="G7" s="1122"/>
      <c r="H7" s="1122"/>
      <c r="I7" s="1122"/>
      <c r="J7" s="1122"/>
      <c r="K7" s="1122"/>
      <c r="L7" s="1470" t="s">
        <v>300</v>
      </c>
      <c r="M7" s="69"/>
      <c r="N7" s="69"/>
      <c r="O7" s="69"/>
      <c r="P7" s="69"/>
      <c r="Q7" s="69"/>
      <c r="R7" s="69"/>
      <c r="S7" s="124"/>
      <c r="T7" s="124"/>
      <c r="U7" s="124"/>
      <c r="V7" s="124"/>
    </row>
    <row r="8" spans="1:256" s="46" customFormat="1" ht="64.5" customHeight="1">
      <c r="A8" s="12"/>
      <c r="B8" s="63"/>
      <c r="C8" s="12"/>
      <c r="D8" s="76"/>
      <c r="E8" s="1474" t="s">
        <v>84</v>
      </c>
      <c r="F8" s="1474" t="s">
        <v>1843</v>
      </c>
      <c r="G8" s="1476" t="s">
        <v>1844</v>
      </c>
      <c r="H8" s="1477"/>
      <c r="I8" s="1478"/>
      <c r="J8" s="1474" t="s">
        <v>1845</v>
      </c>
      <c r="K8" s="147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72"/>
      <c r="M8" s="69"/>
      <c r="N8" s="69"/>
      <c r="O8" s="69"/>
      <c r="P8" s="69"/>
      <c r="Q8" s="69"/>
      <c r="R8" s="69"/>
      <c r="S8" s="124"/>
      <c r="T8" s="124"/>
      <c r="U8" s="124"/>
      <c r="V8" s="124"/>
    </row>
    <row r="9" spans="1:256" s="46" customFormat="1" ht="27.75" customHeight="1">
      <c r="A9" s="12"/>
      <c r="B9" s="63"/>
      <c r="C9" s="12"/>
      <c r="D9" s="76"/>
      <c r="E9" s="1475"/>
      <c r="F9" s="1475"/>
      <c r="G9" s="835" t="s">
        <v>1839</v>
      </c>
      <c r="H9" s="835" t="s">
        <v>1840</v>
      </c>
      <c r="I9" s="835" t="s">
        <v>1841</v>
      </c>
      <c r="J9" s="1475"/>
      <c r="K9" s="1475"/>
      <c r="L9" s="1471"/>
      <c r="M9" s="69"/>
      <c r="N9" s="69"/>
      <c r="O9" s="69"/>
      <c r="P9" s="69"/>
      <c r="Q9" s="69"/>
      <c r="R9" s="69"/>
      <c r="S9" s="124"/>
      <c r="T9" s="124"/>
      <c r="U9" s="124"/>
      <c r="V9" s="124"/>
    </row>
    <row r="10" spans="1:256" ht="0.75" customHeight="1">
      <c r="A10" s="1120"/>
      <c r="B10" s="63">
        <v>1</v>
      </c>
      <c r="C10" s="63"/>
      <c r="D10" s="452"/>
      <c r="E10" s="448">
        <v>0</v>
      </c>
      <c r="F10" s="1011" t="str">
        <f>IF(ROIV_INFO_NAME="","",ROIV_INFO_NAME)</f>
        <v>АО "ХТК"</v>
      </c>
      <c r="G10" s="932" t="s">
        <v>18</v>
      </c>
      <c r="H10" s="1018"/>
      <c r="I10" s="1018"/>
      <c r="J10" s="293"/>
      <c r="K10" s="293"/>
      <c r="L10" s="1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3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4"/>
      <c r="V10" s="63"/>
      <c r="W10" s="63"/>
      <c r="X10" s="63"/>
      <c r="Y10" s="62"/>
      <c r="Z10" s="6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s="1120"/>
      <c r="C11" s="233"/>
      <c r="D11" s="453"/>
      <c r="E11" s="235"/>
      <c r="F11" s="53" t="s">
        <v>1842</v>
      </c>
      <c r="G11" s="95"/>
      <c r="H11" s="95"/>
      <c r="I11" s="95"/>
      <c r="J11" s="95"/>
      <c r="K11" s="236"/>
      <c r="L11" s="1473"/>
      <c r="M11" s="834"/>
      <c r="N11" s="68"/>
      <c r="O11" s="68"/>
      <c r="P11" s="68"/>
      <c r="R11" s="68"/>
      <c r="S11" s="63"/>
      <c r="T11" s="63"/>
      <c r="U11" s="234"/>
      <c r="V11" s="63"/>
      <c r="W11" s="63"/>
      <c r="X11" s="63"/>
      <c r="Y11" s="62"/>
      <c r="Z11" s="6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46" customFormat="1" ht="21" customHeight="1">
      <c r="A12" s="12"/>
      <c r="B12" s="63"/>
      <c r="C12" s="12"/>
      <c r="D12" s="76"/>
      <c r="E12" s="90"/>
      <c r="F12" s="90"/>
      <c r="G12" s="90"/>
      <c r="H12" s="90"/>
      <c r="I12" s="90"/>
      <c r="J12" s="90"/>
      <c r="K12" s="90"/>
      <c r="L12" s="90"/>
      <c r="M12" s="69"/>
      <c r="N12" s="69"/>
      <c r="O12" s="69"/>
      <c r="P12" s="69"/>
      <c r="Q12" s="69"/>
      <c r="R12" s="69"/>
      <c r="S12" s="124"/>
      <c r="T12" s="124"/>
      <c r="U12" s="124"/>
      <c r="V12" s="124"/>
    </row>
    <row r="13" spans="1:256" s="46" customFormat="1" ht="14.25" customHeight="1">
      <c r="A13" s="12"/>
      <c r="B13" s="63"/>
      <c r="C13" s="12"/>
      <c r="D13" s="76"/>
      <c r="E13" s="12"/>
      <c r="F13" s="12"/>
      <c r="G13" s="12"/>
      <c r="H13" s="12"/>
      <c r="I13" s="12"/>
      <c r="J13" s="12"/>
      <c r="K13" s="12"/>
      <c r="L13" s="12"/>
      <c r="M13" s="69"/>
      <c r="N13" s="69"/>
      <c r="O13" s="69"/>
      <c r="P13" s="69"/>
      <c r="Q13" s="69"/>
      <c r="R13" s="69"/>
      <c r="S13" s="124"/>
      <c r="T13" s="124"/>
      <c r="U13" s="124"/>
      <c r="V13" s="124"/>
    </row>
    <row r="14" spans="1:256" s="46" customFormat="1" ht="0.75" customHeight="1">
      <c r="A14" s="12"/>
      <c r="B14" s="63"/>
      <c r="C14" s="12"/>
      <c r="D14" s="76"/>
      <c r="E14" s="12"/>
      <c r="F14" s="12"/>
      <c r="G14" s="12"/>
      <c r="H14" s="12"/>
      <c r="I14" s="12"/>
      <c r="J14" s="12"/>
      <c r="K14" s="12"/>
      <c r="L14" s="12"/>
      <c r="M14" s="69"/>
      <c r="N14" s="69"/>
      <c r="O14" s="69"/>
      <c r="P14" s="69"/>
      <c r="Q14" s="69"/>
      <c r="R14" s="69"/>
      <c r="S14" s="124"/>
      <c r="T14" s="124"/>
      <c r="U14" s="124"/>
      <c r="V14" s="124"/>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400-000000000000}">
      <formula1>0</formula1>
      <formula2>0.999305555555555</formula2>
    </dataValidation>
    <dataValidation type="textLength" operator="lessThanOrEqual" allowBlank="1" showInputMessage="1" showErrorMessage="1" sqref="I2" xr:uid="{00000000-0002-0000-3400-000001000000}">
      <formula1>990</formula1>
    </dataValidation>
    <dataValidation type="textLength" allowBlank="1" showInputMessage="1" showErrorMessage="1" sqref="H3:I3" xr:uid="{00000000-0002-0000-34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4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xr:uid="{00000000-0002-0000-34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B261D-7881-8E03-0869-2B79952F74B7}">
  <dimension ref="A1:P18"/>
  <sheetViews>
    <sheetView showGridLines="0" topLeftCell="D6" zoomScale="90" workbookViewId="0"/>
  </sheetViews>
  <sheetFormatPr defaultColWidth="9.140625" defaultRowHeight="14.25" customHeight="1"/>
  <cols>
    <col min="1" max="1" width="9.140625" style="12" hidden="1"/>
    <col min="2" max="2" width="9.140625" style="63" hidden="1"/>
    <col min="3" max="3" width="3.7109375" style="12" hidden="1" customWidth="1"/>
    <col min="4" max="4" width="3.85546875" style="76" customWidth="1"/>
    <col min="5" max="5" width="6.28515625" style="12" customWidth="1"/>
    <col min="6" max="6" width="27.28515625" style="12" customWidth="1"/>
    <col min="7" max="7" width="29.28515625" style="12" customWidth="1"/>
    <col min="8" max="8" width="25.42578125" style="12" customWidth="1"/>
    <col min="9" max="9" width="5.5703125" style="12" customWidth="1"/>
    <col min="10" max="10" width="6.5703125" style="12" customWidth="1"/>
    <col min="11" max="11" width="41.85546875" style="12" customWidth="1"/>
    <col min="12" max="12" width="42.42578125" style="12" customWidth="1"/>
    <col min="13" max="13" width="41.5703125" style="12" customWidth="1"/>
    <col min="14" max="14" width="89.5703125" style="12" customWidth="1"/>
    <col min="15" max="15" width="3.7109375" style="69" customWidth="1"/>
    <col min="16" max="16" width="9.140625" style="69"/>
  </cols>
  <sheetData>
    <row r="1" spans="1:16" ht="14.25" hidden="1" customHeight="1"/>
    <row r="2" spans="1:16" ht="22.5" hidden="1" customHeight="1">
      <c r="A2" s="201"/>
      <c r="B2" s="63">
        <v>1</v>
      </c>
      <c r="C2" s="63"/>
      <c r="D2" s="1030" t="s">
        <v>117</v>
      </c>
      <c r="E2" s="1146">
        <v>1</v>
      </c>
      <c r="F2" s="1300" t="str">
        <f>IF(region_name="","",region_name)</f>
        <v>Мурманская область</v>
      </c>
      <c r="G2" s="1479"/>
      <c r="H2" s="1480"/>
      <c r="I2" s="267"/>
      <c r="J2" s="380">
        <v>1</v>
      </c>
      <c r="K2" s="215"/>
      <c r="L2" s="215"/>
      <c r="M2" s="215"/>
      <c r="N2" s="280"/>
      <c r="O2" s="833"/>
      <c r="P2" s="68"/>
    </row>
    <row r="3" spans="1:16" ht="22.5" hidden="1" customHeight="1">
      <c r="A3" s="79"/>
      <c r="C3" s="63"/>
      <c r="D3" s="453"/>
      <c r="E3" s="1146"/>
      <c r="F3" s="1300"/>
      <c r="G3" s="1479"/>
      <c r="H3" s="1412"/>
      <c r="I3" s="235"/>
      <c r="J3" s="813"/>
      <c r="K3" s="813" t="s">
        <v>1846</v>
      </c>
      <c r="L3" s="841"/>
      <c r="M3" s="1027"/>
      <c r="N3" s="1020"/>
      <c r="O3" s="833"/>
      <c r="P3" s="68"/>
    </row>
    <row r="4" spans="1:16" s="68" customFormat="1" ht="5.25" hidden="1" customHeight="1">
      <c r="A4" s="201"/>
      <c r="D4" s="120"/>
      <c r="F4" s="143" t="s">
        <v>79</v>
      </c>
      <c r="G4" s="120" t="s">
        <v>80</v>
      </c>
      <c r="H4" s="120"/>
      <c r="I4" s="120"/>
      <c r="J4" s="842"/>
      <c r="K4" s="120"/>
      <c r="L4" s="120"/>
      <c r="M4" s="120"/>
      <c r="N4" s="120"/>
      <c r="O4" s="143" t="s">
        <v>79</v>
      </c>
      <c r="P4" s="143"/>
    </row>
    <row r="5" spans="1:16" ht="22.5" hidden="1" customHeight="1">
      <c r="A5" s="201"/>
      <c r="B5" s="63">
        <v>1</v>
      </c>
      <c r="C5" s="63"/>
      <c r="D5" s="453"/>
      <c r="E5" s="1020"/>
      <c r="F5" s="1020"/>
      <c r="G5" s="1020"/>
      <c r="H5" s="1029"/>
      <c r="I5" s="1031" t="s">
        <v>117</v>
      </c>
      <c r="J5" s="390">
        <v>1</v>
      </c>
      <c r="K5" s="215"/>
      <c r="L5" s="215"/>
      <c r="M5" s="215"/>
      <c r="N5" s="280"/>
      <c r="O5" s="833"/>
      <c r="P5" s="68"/>
    </row>
    <row r="6" spans="1:16" s="46" customFormat="1" ht="14.25" customHeight="1">
      <c r="A6" s="12"/>
      <c r="B6" s="63"/>
      <c r="C6" s="12"/>
      <c r="D6" s="76"/>
      <c r="E6" s="12"/>
      <c r="F6" s="12"/>
      <c r="G6" s="12"/>
      <c r="H6" s="12"/>
      <c r="I6" s="12"/>
      <c r="J6" s="12"/>
      <c r="K6" s="12"/>
      <c r="L6" s="12"/>
      <c r="M6" s="12"/>
      <c r="N6" s="12"/>
      <c r="O6" s="143"/>
      <c r="P6" s="69"/>
    </row>
    <row r="7" spans="1:16" s="46" customFormat="1" ht="25.5" customHeight="1">
      <c r="A7" s="12"/>
      <c r="B7" s="63"/>
      <c r="C7" s="12"/>
      <c r="D7" s="76"/>
      <c r="E7" s="148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85"/>
      <c r="G7" s="1485"/>
      <c r="H7" s="1485"/>
      <c r="I7" s="1485"/>
      <c r="J7" s="1485"/>
      <c r="K7" s="1485"/>
      <c r="L7" s="1485"/>
      <c r="M7" s="1485"/>
      <c r="N7" s="79"/>
      <c r="O7" s="143"/>
      <c r="P7" s="69"/>
    </row>
    <row r="8" spans="1:16" s="46" customFormat="1" ht="14.25" customHeight="1">
      <c r="A8" s="12"/>
      <c r="B8" s="63"/>
      <c r="C8" s="12"/>
      <c r="D8" s="76"/>
      <c r="E8" s="12"/>
      <c r="F8" s="78"/>
      <c r="G8" s="78"/>
      <c r="H8" s="78"/>
      <c r="I8" s="78"/>
      <c r="J8" s="78"/>
      <c r="K8" s="78"/>
      <c r="L8" s="78"/>
      <c r="M8" s="78"/>
      <c r="N8" s="78"/>
      <c r="O8" s="69"/>
      <c r="P8" s="69"/>
    </row>
    <row r="9" spans="1:16" s="843" customFormat="1" ht="14.25" hidden="1" customHeight="1">
      <c r="A9" s="59"/>
      <c r="B9" s="299"/>
      <c r="C9" s="59"/>
      <c r="D9" s="76"/>
      <c r="E9" s="1021"/>
      <c r="F9" s="1021"/>
      <c r="G9" s="1021"/>
      <c r="H9" s="1021"/>
      <c r="I9" s="1488"/>
      <c r="J9" s="1488"/>
      <c r="K9" s="1488"/>
      <c r="L9" s="1021"/>
      <c r="M9" s="1022"/>
      <c r="O9" s="338"/>
      <c r="P9" s="338"/>
    </row>
    <row r="10" spans="1:16" s="46" customFormat="1" ht="14.25" customHeight="1">
      <c r="A10" s="12"/>
      <c r="B10" s="63"/>
      <c r="C10" s="12"/>
      <c r="D10" s="76"/>
      <c r="E10" s="1146" t="s">
        <v>299</v>
      </c>
      <c r="F10" s="1146"/>
      <c r="G10" s="1146"/>
      <c r="H10" s="1146"/>
      <c r="I10" s="1146"/>
      <c r="J10" s="1146"/>
      <c r="K10" s="1146"/>
      <c r="L10" s="1146"/>
      <c r="M10" s="1117"/>
      <c r="N10" s="1474" t="s">
        <v>300</v>
      </c>
      <c r="O10" s="69"/>
      <c r="P10" s="69"/>
    </row>
    <row r="11" spans="1:16" s="46" customFormat="1" ht="42" customHeight="1">
      <c r="A11" s="12"/>
      <c r="B11" s="63"/>
      <c r="C11" s="12"/>
      <c r="D11" s="76"/>
      <c r="E11" s="1487" t="s">
        <v>84</v>
      </c>
      <c r="F11" s="1487" t="s">
        <v>303</v>
      </c>
      <c r="G11" s="1487" t="s">
        <v>1847</v>
      </c>
      <c r="H11" s="1487"/>
      <c r="I11" s="1487" t="s">
        <v>1848</v>
      </c>
      <c r="J11" s="1487"/>
      <c r="K11" s="1487"/>
      <c r="L11" s="1487" t="s">
        <v>1849</v>
      </c>
      <c r="M11" s="1476" t="s">
        <v>1850</v>
      </c>
      <c r="N11" s="1486"/>
      <c r="O11" s="69"/>
      <c r="P11" s="69"/>
    </row>
    <row r="12" spans="1:16" s="46" customFormat="1" ht="27.75" customHeight="1">
      <c r="A12" s="12"/>
      <c r="B12" s="63"/>
      <c r="C12" s="12"/>
      <c r="D12" s="76"/>
      <c r="E12" s="1474"/>
      <c r="F12" s="1487"/>
      <c r="G12" s="82" t="s">
        <v>1851</v>
      </c>
      <c r="H12" s="82" t="s">
        <v>307</v>
      </c>
      <c r="I12" s="1487"/>
      <c r="J12" s="1487"/>
      <c r="K12" s="1487"/>
      <c r="L12" s="1487"/>
      <c r="M12" s="1476"/>
      <c r="N12" s="1475"/>
      <c r="O12" s="69"/>
      <c r="P12" s="69"/>
    </row>
    <row r="13" spans="1:16" ht="22.5" customHeight="1">
      <c r="A13" s="1120">
        <v>26379339</v>
      </c>
      <c r="B13" s="63">
        <v>1</v>
      </c>
      <c r="C13" s="63"/>
      <c r="D13" s="453"/>
      <c r="E13" s="1146">
        <v>1</v>
      </c>
      <c r="F13" s="1481" t="str">
        <f>IF(region_name="","",region_name)</f>
        <v>Мурманская область</v>
      </c>
      <c r="G13" s="1482"/>
      <c r="H13" s="1489"/>
      <c r="I13" s="267"/>
      <c r="J13" s="438">
        <v>1</v>
      </c>
      <c r="K13" s="1025"/>
      <c r="L13" s="1026"/>
      <c r="M13" s="1026"/>
      <c r="N13" s="1483" t="s">
        <v>1852</v>
      </c>
      <c r="O13" s="833"/>
      <c r="P13" s="68"/>
    </row>
    <row r="14" spans="1:16" ht="22.5" customHeight="1">
      <c r="A14" s="1120"/>
      <c r="C14" s="63"/>
      <c r="D14" s="453"/>
      <c r="E14" s="1146"/>
      <c r="F14" s="1481"/>
      <c r="G14" s="1482"/>
      <c r="H14" s="1490"/>
      <c r="I14" s="235"/>
      <c r="J14" s="813"/>
      <c r="K14" s="813" t="s">
        <v>1846</v>
      </c>
      <c r="L14" s="841"/>
      <c r="M14" s="841"/>
      <c r="N14" s="1484"/>
      <c r="O14" s="833"/>
      <c r="P14" s="68"/>
    </row>
    <row r="15" spans="1:16" ht="22.5" customHeight="1">
      <c r="A15" s="1120"/>
      <c r="C15" s="233"/>
      <c r="D15" s="453"/>
      <c r="E15" s="235"/>
      <c r="F15" s="813" t="s">
        <v>1838</v>
      </c>
      <c r="G15" s="840"/>
      <c r="H15" s="840"/>
      <c r="I15" s="95"/>
      <c r="J15" s="95"/>
      <c r="K15" s="95"/>
      <c r="L15" s="95"/>
      <c r="M15" s="95"/>
      <c r="N15" s="1484"/>
      <c r="O15" s="834"/>
      <c r="P15" s="68"/>
    </row>
    <row r="16" spans="1:16" s="46" customFormat="1" ht="21" customHeight="1">
      <c r="A16" s="12"/>
      <c r="B16" s="63"/>
      <c r="C16" s="12"/>
      <c r="D16" s="76"/>
      <c r="E16" s="90"/>
      <c r="F16" s="90"/>
      <c r="G16" s="90"/>
      <c r="H16" s="90"/>
      <c r="I16" s="90"/>
      <c r="J16" s="90"/>
      <c r="K16" s="90"/>
      <c r="L16" s="90"/>
      <c r="M16" s="12"/>
      <c r="N16" s="12"/>
      <c r="O16" s="69"/>
      <c r="P16" s="69"/>
    </row>
    <row r="17" spans="1:16" s="46" customFormat="1" ht="14.25" customHeight="1">
      <c r="A17" s="12"/>
      <c r="B17" s="63"/>
      <c r="C17" s="12"/>
      <c r="D17" s="76"/>
      <c r="E17" s="12"/>
      <c r="F17" s="12"/>
      <c r="G17" s="12"/>
      <c r="H17" s="12"/>
      <c r="I17" s="12"/>
      <c r="J17" s="12"/>
      <c r="K17" s="12"/>
      <c r="L17" s="12"/>
      <c r="M17" s="12"/>
      <c r="N17" s="12"/>
      <c r="O17" s="69"/>
      <c r="P17" s="69"/>
    </row>
    <row r="18" spans="1:16" s="46" customFormat="1" ht="0.75" customHeight="1">
      <c r="A18" s="12"/>
      <c r="B18" s="63"/>
      <c r="C18" s="12"/>
      <c r="D18" s="76"/>
      <c r="E18" s="12"/>
      <c r="F18" s="12"/>
      <c r="G18" s="12"/>
      <c r="H18" s="12"/>
      <c r="I18" s="12"/>
      <c r="J18" s="12"/>
      <c r="K18" s="12"/>
      <c r="L18" s="12"/>
      <c r="M18" s="12"/>
      <c r="N18" s="12"/>
      <c r="O18" s="69"/>
      <c r="P18" s="69"/>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xr:uid="{00000000-0002-0000-35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0A396-ECD1-66D7-1472-9342F6CA7289}">
  <sheetPr>
    <tabColor rgb="FFEAEBEE"/>
    <pageSetUpPr fitToPage="1"/>
  </sheetPr>
  <dimension ref="A1:L15"/>
  <sheetViews>
    <sheetView showGridLines="0" topLeftCell="C4" zoomScale="90" workbookViewId="0"/>
  </sheetViews>
  <sheetFormatPr defaultColWidth="9.140625" defaultRowHeight="14.25" customHeight="1"/>
  <cols>
    <col min="1" max="1" width="9.140625" style="47" hidden="1"/>
    <col min="2" max="2" width="9.140625" style="35" hidden="1"/>
    <col min="3" max="3" width="3.7109375" style="48" customWidth="1"/>
    <col min="4" max="4" width="7" style="35" customWidth="1"/>
    <col min="5" max="5" width="23.140625" style="35" customWidth="1"/>
    <col min="6" max="6" width="16" style="35" customWidth="1"/>
    <col min="7" max="7" width="14.85546875" style="35" customWidth="1"/>
    <col min="8" max="8" width="47.85546875" style="35" customWidth="1"/>
    <col min="9" max="9" width="115.7109375" style="35" customWidth="1"/>
    <col min="10" max="10" width="3.7109375" style="35" customWidth="1"/>
    <col min="11" max="12" width="9.140625" style="35"/>
  </cols>
  <sheetData>
    <row r="1" spans="1:12" ht="14.25" hidden="1" customHeight="1"/>
    <row r="2" spans="1:12" ht="14.25" hidden="1" customHeight="1"/>
    <row r="3" spans="1:12" ht="14.25" hidden="1" customHeight="1"/>
    <row r="4" spans="1:12" ht="3" customHeight="1"/>
    <row r="5" spans="1:12" s="12" customFormat="1" ht="30" customHeight="1">
      <c r="A5" s="9"/>
      <c r="C5" s="24"/>
      <c r="D5" s="1121" t="s">
        <v>1853</v>
      </c>
      <c r="E5" s="1121"/>
      <c r="F5" s="1121"/>
      <c r="G5" s="1121"/>
      <c r="H5" s="1121"/>
      <c r="I5" s="154"/>
    </row>
    <row r="6" spans="1:12" ht="3" hidden="1" customHeight="1">
      <c r="D6" s="8"/>
      <c r="E6" s="8"/>
      <c r="F6" s="8"/>
      <c r="G6" s="8"/>
      <c r="H6" s="8"/>
      <c r="I6" s="8"/>
    </row>
    <row r="7" spans="1:12" s="47" customFormat="1" ht="14.25" customHeight="1">
      <c r="B7" s="35"/>
      <c r="C7" s="48"/>
      <c r="D7" s="49"/>
      <c r="E7" s="49"/>
      <c r="F7" s="49"/>
      <c r="G7" s="49"/>
      <c r="H7" s="426"/>
      <c r="I7" s="49"/>
      <c r="J7" s="50"/>
    </row>
    <row r="8" spans="1:12" ht="14.25" customHeight="1">
      <c r="D8" s="1224" t="s">
        <v>299</v>
      </c>
      <c r="E8" s="1224"/>
      <c r="F8" s="1224"/>
      <c r="G8" s="1224"/>
      <c r="H8" s="1224"/>
      <c r="I8" s="1224" t="s">
        <v>300</v>
      </c>
    </row>
    <row r="9" spans="1:12" ht="27.75" customHeight="1">
      <c r="D9" s="1224" t="s">
        <v>84</v>
      </c>
      <c r="E9" s="1224" t="s">
        <v>1854</v>
      </c>
      <c r="F9" s="1224"/>
      <c r="G9" s="1224"/>
      <c r="H9" s="1224"/>
      <c r="I9" s="1224"/>
    </row>
    <row r="10" spans="1:12" ht="22.5" customHeight="1">
      <c r="D10" s="1224"/>
      <c r="E10" s="37" t="s">
        <v>1855</v>
      </c>
      <c r="F10" s="37" t="s">
        <v>1856</v>
      </c>
      <c r="G10" s="37" t="s">
        <v>1857</v>
      </c>
      <c r="H10" s="37" t="s">
        <v>389</v>
      </c>
      <c r="I10" s="1224"/>
    </row>
    <row r="11" spans="1:12" ht="12" hidden="1" customHeight="1">
      <c r="D11" s="23" t="s">
        <v>105</v>
      </c>
      <c r="E11" s="23" t="s">
        <v>87</v>
      </c>
      <c r="F11" s="23" t="s">
        <v>107</v>
      </c>
      <c r="G11" s="23" t="s">
        <v>88</v>
      </c>
      <c r="H11" s="23" t="s">
        <v>89</v>
      </c>
      <c r="I11" s="23" t="s">
        <v>108</v>
      </c>
    </row>
    <row r="12" spans="1:12" s="35" customFormat="1" ht="24.75" customHeight="1">
      <c r="A12" s="62" t="s">
        <v>86</v>
      </c>
      <c r="B12" s="35" t="s">
        <v>18</v>
      </c>
      <c r="C12" s="51"/>
      <c r="D12" s="44" t="s">
        <v>105</v>
      </c>
      <c r="E12" s="215"/>
      <c r="F12" s="215"/>
      <c r="G12" s="933" t="s">
        <v>18</v>
      </c>
      <c r="H12" s="115"/>
      <c r="I12" s="1187" t="s">
        <v>1858</v>
      </c>
      <c r="K12" s="158"/>
      <c r="L12" s="102"/>
    </row>
    <row r="13" spans="1:12" ht="15" customHeight="1">
      <c r="A13" s="35"/>
      <c r="C13" s="35"/>
      <c r="D13" s="41"/>
      <c r="E13" s="53" t="s">
        <v>467</v>
      </c>
      <c r="F13" s="52"/>
      <c r="G13" s="52"/>
      <c r="H13" s="106"/>
      <c r="I13" s="1189"/>
    </row>
    <row r="14" spans="1:12" ht="3" customHeight="1">
      <c r="A14" s="35"/>
      <c r="C14" s="35"/>
    </row>
    <row r="15" spans="1:12" ht="27.75" customHeight="1">
      <c r="E15" s="1491" t="s">
        <v>1859</v>
      </c>
      <c r="F15" s="1491"/>
      <c r="G15" s="1491"/>
      <c r="H15" s="149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6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3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6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34103-00E1-EC37-E15F-BA09E3E93873}">
  <sheetPr>
    <tabColor rgb="FFCCCCFF"/>
    <pageSetUpPr fitToPage="1"/>
  </sheetPr>
  <dimension ref="A1:I15"/>
  <sheetViews>
    <sheetView showGridLines="0" topLeftCell="C6" zoomScale="90" workbookViewId="0"/>
  </sheetViews>
  <sheetFormatPr defaultColWidth="9.140625" defaultRowHeight="14.25" customHeight="1"/>
  <cols>
    <col min="1" max="2" width="9.140625" style="7" hidden="1"/>
    <col min="3" max="3" width="3.7109375" style="25" customWidth="1"/>
    <col min="4" max="4" width="6.28515625" style="7" customWidth="1"/>
    <col min="5" max="5" width="94.85546875" style="7" customWidth="1"/>
    <col min="6" max="9" width="9.140625" style="7"/>
  </cols>
  <sheetData>
    <row r="1" spans="3:9" ht="14.25" hidden="1" customHeight="1"/>
    <row r="2" spans="3:9" ht="14.25" hidden="1" customHeight="1"/>
    <row r="3" spans="3:9" ht="14.25" hidden="1" customHeight="1"/>
    <row r="4" spans="3:9" ht="14.25" hidden="1" customHeight="1"/>
    <row r="5" spans="3:9" ht="14.25" hidden="1" customHeight="1"/>
    <row r="6" spans="3:9" ht="3" customHeight="1">
      <c r="C6" s="26"/>
      <c r="D6" s="8"/>
      <c r="E6" s="8"/>
    </row>
    <row r="7" spans="3:9" ht="22.5" customHeight="1">
      <c r="C7" s="26"/>
      <c r="D7" s="1492" t="s">
        <v>1860</v>
      </c>
      <c r="E7" s="1493"/>
      <c r="F7" s="155"/>
    </row>
    <row r="8" spans="3:9" ht="3" customHeight="1">
      <c r="C8" s="26"/>
      <c r="D8" s="8"/>
      <c r="E8" s="8"/>
    </row>
    <row r="9" spans="3:9" ht="15.75" customHeight="1">
      <c r="C9" s="26"/>
      <c r="D9" s="37" t="s">
        <v>84</v>
      </c>
      <c r="E9" s="42" t="s">
        <v>1861</v>
      </c>
    </row>
    <row r="10" spans="3:9" ht="0.75" customHeight="1">
      <c r="C10" s="26"/>
      <c r="D10" s="23"/>
      <c r="E10" s="23"/>
    </row>
    <row r="11" spans="3:9" ht="11.25" hidden="1" customHeight="1">
      <c r="C11" s="26"/>
      <c r="D11" s="66">
        <v>0</v>
      </c>
      <c r="E11" s="152"/>
    </row>
    <row r="12" spans="3:9" ht="15" customHeight="1">
      <c r="C12" s="24"/>
      <c r="D12" s="45">
        <v>1</v>
      </c>
      <c r="E12" s="215"/>
    </row>
    <row r="13" spans="3:9" ht="12" customHeight="1">
      <c r="C13" s="26"/>
      <c r="D13" s="153"/>
      <c r="E13" s="39" t="s">
        <v>1862</v>
      </c>
    </row>
    <row r="14" spans="3:9" ht="3" customHeight="1"/>
    <row r="15" spans="3:9" ht="22.5" customHeight="1">
      <c r="C15" s="57"/>
      <c r="D15" s="1491" t="s">
        <v>1863</v>
      </c>
      <c r="E15" s="1491"/>
      <c r="F15" s="58"/>
      <c r="G15" s="58"/>
      <c r="H15" s="58"/>
      <c r="I15" s="58"/>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7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14839-5E73-1373-9A04-D7E94A28158E}">
  <sheetPr>
    <tabColor rgb="FFCCCCFF"/>
    <pageSetUpPr fitToPage="1"/>
  </sheetPr>
  <dimension ref="A1:L12"/>
  <sheetViews>
    <sheetView showGridLines="0" topLeftCell="C6" zoomScale="90" workbookViewId="0"/>
  </sheetViews>
  <sheetFormatPr defaultColWidth="9.140625" defaultRowHeight="14.25" customHeight="1"/>
  <cols>
    <col min="1" max="2" width="9.140625" style="7" hidden="1"/>
    <col min="3" max="3" width="3.7109375" style="25" customWidth="1"/>
    <col min="4" max="4" width="6.28515625" style="7" customWidth="1"/>
    <col min="5" max="5" width="94.85546875" style="7" customWidth="1"/>
    <col min="6" max="12" width="9.140625" style="7"/>
  </cols>
  <sheetData>
    <row r="1" spans="3:6" ht="14.25" hidden="1" customHeight="1"/>
    <row r="2" spans="3:6" ht="14.25" hidden="1" customHeight="1"/>
    <row r="3" spans="3:6" ht="14.25" hidden="1" customHeight="1"/>
    <row r="4" spans="3:6" ht="14.25" hidden="1" customHeight="1"/>
    <row r="5" spans="3:6" ht="14.25" hidden="1" customHeight="1"/>
    <row r="6" spans="3:6" ht="3" customHeight="1">
      <c r="C6" s="26"/>
      <c r="D6" s="8"/>
      <c r="E6" s="8"/>
    </row>
    <row r="7" spans="3:6" ht="22.5" customHeight="1">
      <c r="C7" s="26"/>
      <c r="D7" s="1121" t="s">
        <v>1864</v>
      </c>
      <c r="E7" s="1121"/>
      <c r="F7" s="155"/>
    </row>
    <row r="8" spans="3:6" ht="3" customHeight="1">
      <c r="C8" s="26"/>
      <c r="D8" s="8"/>
      <c r="E8" s="8"/>
    </row>
    <row r="9" spans="3:6" ht="15.75" customHeight="1">
      <c r="C9" s="26"/>
      <c r="D9" s="37" t="s">
        <v>84</v>
      </c>
      <c r="E9" s="40" t="s">
        <v>286</v>
      </c>
    </row>
    <row r="10" spans="3:6" ht="12" customHeight="1">
      <c r="C10" s="26"/>
      <c r="D10" s="23" t="s">
        <v>105</v>
      </c>
      <c r="E10" s="23" t="s">
        <v>106</v>
      </c>
    </row>
    <row r="11" spans="3:6" ht="15" hidden="1" customHeight="1">
      <c r="C11" s="26"/>
      <c r="D11" s="45">
        <v>0</v>
      </c>
      <c r="E11" s="65"/>
    </row>
    <row r="12" spans="3:6" ht="14.25" customHeight="1">
      <c r="C12" s="26"/>
      <c r="D12" s="41"/>
      <c r="E12" s="39" t="s">
        <v>1862</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8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D820A-C983-11C8-BF7C-D55BCAEBD01F}">
  <sheetPr>
    <tabColor rgb="FFCCCCFF"/>
  </sheetPr>
  <dimension ref="B1:E4"/>
  <sheetViews>
    <sheetView showGridLines="0" zoomScale="90" workbookViewId="0"/>
  </sheetViews>
  <sheetFormatPr defaultColWidth="9.140625" defaultRowHeight="11.25" customHeight="1"/>
  <cols>
    <col min="1" max="1" width="1.7109375" customWidth="1"/>
    <col min="2" max="2" width="34.5703125" customWidth="1"/>
    <col min="3" max="3" width="85.5703125" customWidth="1"/>
    <col min="4" max="4" width="17.7109375" customWidth="1"/>
  </cols>
  <sheetData>
    <row r="1" spans="2:5" ht="3" customHeight="1"/>
    <row r="2" spans="2:5" ht="22.5" customHeight="1">
      <c r="B2" s="1494" t="s">
        <v>1865</v>
      </c>
      <c r="C2" s="1494"/>
      <c r="D2" s="1494"/>
      <c r="E2" s="156"/>
    </row>
    <row r="3" spans="2:5" ht="3" customHeight="1"/>
    <row r="4" spans="2:5" ht="21.75" customHeight="1">
      <c r="B4" s="216" t="s">
        <v>1866</v>
      </c>
      <c r="C4" s="216" t="s">
        <v>1867</v>
      </c>
      <c r="D4" s="216" t="s">
        <v>1868</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3225-D219-272B-1609-E95A80DA2F51}">
  <sheetPr>
    <tabColor rgb="FFFFCC99"/>
  </sheetPr>
  <dimension ref="A2:GB215"/>
  <sheetViews>
    <sheetView showGridLines="0" zoomScale="85" workbookViewId="0"/>
  </sheetViews>
  <sheetFormatPr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74" customFormat="1" ht="17.25" customHeight="1">
      <c r="A2" s="974" t="s">
        <v>1869</v>
      </c>
    </row>
    <row r="4" spans="1:80" s="7" customFormat="1" ht="15" customHeight="1">
      <c r="C4" s="24"/>
      <c r="D4" s="45"/>
      <c r="E4" s="215"/>
    </row>
    <row r="6" spans="1:80" s="974" customFormat="1" ht="17.25" customHeight="1">
      <c r="A6" s="974" t="s">
        <v>1870</v>
      </c>
    </row>
    <row r="8" spans="1:80" s="7" customFormat="1" ht="17.25" customHeight="1">
      <c r="C8" s="975"/>
      <c r="D8" s="45"/>
      <c r="E8" s="38"/>
    </row>
    <row r="11" spans="1:80" s="974" customFormat="1" ht="17.25" customHeight="1">
      <c r="A11" s="974" t="s">
        <v>1871</v>
      </c>
    </row>
    <row r="13" spans="1:80" s="46" customFormat="1" ht="15" customHeight="1">
      <c r="A13" s="1232">
        <v>1</v>
      </c>
      <c r="B13" s="63"/>
      <c r="C13" s="453" t="s">
        <v>117</v>
      </c>
      <c r="D13" s="76"/>
      <c r="E13" s="42">
        <f>A13</f>
        <v>1</v>
      </c>
      <c r="F13" s="455"/>
      <c r="G13" s="303" t="str">
        <f>"Территория "&amp;E13</f>
        <v>Территория 1</v>
      </c>
      <c r="H13" s="445"/>
      <c r="I13" s="445"/>
      <c r="J13" s="69"/>
      <c r="K13" s="69"/>
      <c r="L13" s="69"/>
      <c r="M13" s="69"/>
      <c r="N13" s="69"/>
      <c r="O13" s="69"/>
      <c r="P13" s="124"/>
      <c r="Q13" s="124"/>
      <c r="R13" s="124"/>
      <c r="S13" s="124"/>
    </row>
    <row r="14" spans="1:80" ht="15" customHeight="1">
      <c r="A14" s="1232"/>
      <c r="B14" s="63">
        <v>1</v>
      </c>
      <c r="C14" s="63"/>
      <c r="D14" s="452"/>
      <c r="E14" s="438" t="str">
        <f>A13&amp;"."&amp;B14</f>
        <v>1.1</v>
      </c>
      <c r="F14" s="454">
        <f>$F$20</f>
        <v>0</v>
      </c>
      <c r="G14" s="446"/>
      <c r="H14" s="446"/>
      <c r="I14" s="444"/>
      <c r="J14" s="69"/>
      <c r="K14" s="68"/>
      <c r="L14" s="68"/>
      <c r="M14" s="69" t="str">
        <f t="array" ref="M14">IF(ISERROR(MATCH(MID(N14,1,250),MID(note_ter,1,250),0)),"n","y")</f>
        <v>n</v>
      </c>
      <c r="N14" s="68"/>
      <c r="O14" s="69" t="str">
        <f>H14&amp;"("&amp;I14&amp;")"</f>
        <v>()</v>
      </c>
      <c r="P14" s="63"/>
      <c r="Q14" s="63"/>
      <c r="R14" s="234"/>
      <c r="S14" s="63"/>
      <c r="T14" s="63"/>
      <c r="U14" s="63"/>
      <c r="V14" s="62"/>
      <c r="W14" s="6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62"/>
      <c r="BT14" s="62"/>
      <c r="BU14" s="62"/>
      <c r="BV14" s="62"/>
      <c r="BW14" s="62"/>
      <c r="BX14" s="62"/>
      <c r="BY14" s="62"/>
      <c r="BZ14" s="62"/>
      <c r="CA14" s="62"/>
      <c r="CB14" s="62"/>
    </row>
    <row r="15" spans="1:80" ht="15" customHeight="1">
      <c r="A15" s="1232"/>
      <c r="B15" s="63"/>
      <c r="C15" s="233"/>
      <c r="D15" s="453"/>
      <c r="E15" s="235"/>
      <c r="F15" s="87"/>
      <c r="G15" s="108" t="s">
        <v>98</v>
      </c>
      <c r="H15" s="95"/>
      <c r="I15" s="236"/>
      <c r="J15" s="68"/>
      <c r="K15" s="68"/>
      <c r="L15" s="68"/>
      <c r="M15" s="68"/>
      <c r="N15" s="69"/>
      <c r="O15" s="68"/>
      <c r="P15" s="63"/>
      <c r="Q15" s="63"/>
      <c r="R15" s="234"/>
      <c r="S15" s="63"/>
      <c r="T15" s="63"/>
      <c r="U15" s="63"/>
      <c r="V15" s="62"/>
      <c r="W15" s="6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62"/>
      <c r="BT15" s="62"/>
      <c r="BU15" s="62"/>
      <c r="BV15" s="62"/>
      <c r="BW15" s="62"/>
      <c r="BX15" s="62"/>
      <c r="BY15" s="62"/>
      <c r="BZ15" s="62"/>
      <c r="CA15" s="62"/>
      <c r="CB15" s="62"/>
    </row>
    <row r="17" spans="1:80" s="974" customFormat="1" ht="17.25" customHeight="1">
      <c r="A17" s="974" t="s">
        <v>1872</v>
      </c>
    </row>
    <row r="19" spans="1:80" ht="15" customHeight="1">
      <c r="A19" s="299"/>
      <c r="B19" s="63">
        <v>1</v>
      </c>
      <c r="C19" s="63"/>
      <c r="D19" s="452" t="s">
        <v>117</v>
      </c>
      <c r="E19" s="42"/>
      <c r="F19" s="1006">
        <f>$F$20</f>
        <v>0</v>
      </c>
      <c r="G19" s="1009"/>
      <c r="H19" s="1009"/>
      <c r="I19" s="1007"/>
      <c r="J19" s="69"/>
      <c r="K19" s="68"/>
      <c r="L19" s="68"/>
      <c r="M19" s="69" t="str">
        <f t="array" ref="M19">IF(ISERROR(MATCH(MID(N19,1,250),MID(note_ter,1,250),0)),"n","y")</f>
        <v>n</v>
      </c>
      <c r="N19" s="68"/>
      <c r="O19" s="69" t="str">
        <f>H19&amp;"("&amp;I19&amp;")"</f>
        <v>()</v>
      </c>
      <c r="P19" s="63"/>
      <c r="Q19" s="63"/>
      <c r="R19" s="234"/>
      <c r="S19" s="63"/>
      <c r="T19" s="63"/>
      <c r="U19" s="63"/>
      <c r="V19" s="62"/>
      <c r="W19" s="6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62"/>
      <c r="BT19" s="62"/>
      <c r="BU19" s="62"/>
      <c r="BV19" s="62"/>
      <c r="BW19" s="62"/>
      <c r="BX19" s="62"/>
      <c r="BY19" s="62"/>
      <c r="BZ19" s="62"/>
      <c r="CA19" s="62"/>
      <c r="CB19" s="62"/>
    </row>
    <row r="21" spans="1:80" ht="15" customHeight="1">
      <c r="A21" s="974" t="s">
        <v>1873</v>
      </c>
      <c r="B21" s="974"/>
      <c r="C21" s="974"/>
      <c r="D21" s="974"/>
      <c r="E21" s="974"/>
      <c r="F21" s="974"/>
      <c r="G21" s="974"/>
      <c r="H21" s="974"/>
      <c r="I21" s="974"/>
      <c r="J21" s="974"/>
      <c r="K21" s="974"/>
      <c r="L21" s="974"/>
      <c r="M21" s="974"/>
      <c r="N21" s="974"/>
      <c r="O21" s="974"/>
      <c r="P21" s="974"/>
      <c r="Q21" s="974"/>
      <c r="R21" s="974"/>
      <c r="S21" s="974"/>
      <c r="T21" s="974"/>
      <c r="U21" s="93"/>
      <c r="V21" s="974"/>
      <c r="W21" s="974"/>
    </row>
    <row r="22" spans="1:80" ht="15" customHeight="1">
      <c r="U22" s="94"/>
    </row>
    <row r="23" spans="1:80" s="36" customFormat="1" ht="15" customHeight="1">
      <c r="A23"/>
      <c r="B23"/>
      <c r="C23" s="927" t="s">
        <v>117</v>
      </c>
      <c r="D23" s="1128" t="s">
        <v>105</v>
      </c>
      <c r="E23" s="1129"/>
      <c r="F23" s="1127" t="s">
        <v>52</v>
      </c>
      <c r="G23" s="1514"/>
      <c r="H23" s="1146">
        <v>1</v>
      </c>
      <c r="I23" s="1516" t="str">
        <f>IF(U23="","",INDEX(TERRITORY_MR_LIST,MATCH(U23,TERRITORY_LIST_ID,0)))</f>
        <v/>
      </c>
      <c r="J23" s="1127" t="s">
        <v>52</v>
      </c>
      <c r="K23" s="465"/>
      <c r="L23" s="44" t="s">
        <v>105</v>
      </c>
      <c r="M23" s="342"/>
      <c r="N23" s="81"/>
      <c r="O23" s="81"/>
      <c r="P23" s="81"/>
      <c r="Q23" s="81"/>
      <c r="R23" s="81"/>
      <c r="S23" s="81"/>
      <c r="T23" s="81"/>
      <c r="U23" s="343"/>
      <c r="V23" s="81"/>
      <c r="W23" s="81"/>
      <c r="X23" s="81"/>
      <c r="Y23" s="81" t="s">
        <v>116</v>
      </c>
      <c r="Z23" s="81">
        <v>1705000</v>
      </c>
      <c r="AA23" s="81"/>
      <c r="AB23" s="81"/>
      <c r="AC23" s="81"/>
      <c r="AD23" s="81"/>
      <c r="AE23" s="81"/>
      <c r="AF23" s="81"/>
      <c r="AG23" s="81"/>
      <c r="AH23" s="81"/>
      <c r="AI23" s="81"/>
      <c r="AJ23" s="81"/>
      <c r="AK23" s="81"/>
      <c r="AL23" s="81"/>
    </row>
    <row r="24" spans="1:80" s="36" customFormat="1" ht="15" customHeight="1">
      <c r="A24"/>
      <c r="B24"/>
      <c r="C24" s="86"/>
      <c r="D24" s="1128"/>
      <c r="E24" s="1130"/>
      <c r="F24" s="1127"/>
      <c r="G24" s="1515"/>
      <c r="H24" s="1146"/>
      <c r="I24" s="1517"/>
      <c r="J24" s="1127"/>
      <c r="K24" s="235"/>
      <c r="L24" s="87"/>
      <c r="M24" s="344" t="s">
        <v>120</v>
      </c>
      <c r="N24" s="81"/>
      <c r="O24" s="81"/>
      <c r="P24" s="81"/>
      <c r="Q24" s="81"/>
      <c r="R24" s="81"/>
      <c r="S24" s="81"/>
      <c r="T24" s="81"/>
      <c r="U24" s="343"/>
      <c r="V24" s="81"/>
      <c r="W24" s="81"/>
      <c r="X24" s="81"/>
      <c r="Y24" s="81"/>
      <c r="Z24" s="81"/>
      <c r="AA24" s="81"/>
      <c r="AB24" s="81"/>
      <c r="AC24" s="81"/>
      <c r="AD24" s="81"/>
      <c r="AE24" s="81"/>
      <c r="AF24" s="81"/>
      <c r="AG24" s="81"/>
      <c r="AH24" s="81"/>
      <c r="AI24" s="81"/>
      <c r="AJ24" s="81"/>
      <c r="AK24" s="81"/>
      <c r="AL24" s="81"/>
    </row>
    <row r="25" spans="1:80" s="36" customFormat="1" ht="15" customHeight="1">
      <c r="A25"/>
      <c r="B25"/>
      <c r="C25" s="86"/>
      <c r="D25" s="1128"/>
      <c r="E25" s="1131"/>
      <c r="F25" s="1127"/>
      <c r="G25" s="235"/>
      <c r="H25" s="87"/>
      <c r="I25" s="108" t="s">
        <v>121</v>
      </c>
      <c r="J25" s="87"/>
      <c r="K25" s="87"/>
      <c r="L25" s="87"/>
      <c r="M25" s="345"/>
      <c r="N25" s="81"/>
      <c r="O25" s="81"/>
      <c r="P25" s="81"/>
      <c r="Q25" s="81"/>
      <c r="R25" s="81"/>
      <c r="S25" s="81"/>
      <c r="T25" s="81"/>
      <c r="U25" s="343"/>
      <c r="V25" s="81"/>
      <c r="W25" s="81"/>
      <c r="X25" s="81"/>
      <c r="Y25" s="81"/>
      <c r="Z25" s="81"/>
      <c r="AA25" s="81"/>
      <c r="AB25" s="81"/>
      <c r="AC25" s="81"/>
      <c r="AD25" s="81"/>
      <c r="AE25" s="81"/>
      <c r="AF25" s="81"/>
      <c r="AG25" s="81"/>
      <c r="AH25" s="81"/>
      <c r="AI25" s="81"/>
      <c r="AJ25" s="81"/>
      <c r="AK25" s="81"/>
      <c r="AL25" s="81"/>
    </row>
    <row r="26" spans="1:80" ht="15" customHeight="1">
      <c r="U26" s="94"/>
    </row>
    <row r="27" spans="1:80" ht="15" customHeight="1">
      <c r="A27" s="974" t="s">
        <v>1874</v>
      </c>
      <c r="B27" s="974"/>
      <c r="C27" s="974"/>
      <c r="D27" s="974"/>
      <c r="E27" s="974"/>
      <c r="F27" s="974"/>
      <c r="G27" s="974"/>
      <c r="H27" s="974"/>
      <c r="I27" s="974"/>
      <c r="J27" s="974"/>
      <c r="K27" s="974"/>
      <c r="L27" s="974"/>
      <c r="M27" s="974"/>
      <c r="N27" s="974"/>
      <c r="O27" s="974"/>
      <c r="P27" s="974"/>
      <c r="Q27" s="974"/>
      <c r="R27" s="974"/>
      <c r="S27" s="974"/>
      <c r="T27" s="974"/>
      <c r="U27" s="93"/>
      <c r="V27" s="974"/>
      <c r="W27" s="974"/>
    </row>
    <row r="28" spans="1:80" ht="15" customHeight="1">
      <c r="U28" s="94"/>
    </row>
    <row r="29" spans="1:80" s="36" customFormat="1" ht="15" customHeight="1">
      <c r="A29"/>
      <c r="B29"/>
      <c r="C29" s="86"/>
      <c r="D29" s="427"/>
      <c r="E29" s="427"/>
      <c r="F29" s="427"/>
      <c r="G29" s="1518" t="s">
        <v>117</v>
      </c>
      <c r="H29" s="1116">
        <v>1</v>
      </c>
      <c r="I29" s="1519" t="str">
        <f>IF(U29="","",INDEX(TERRITORY_MR_LIST,MATCH(U29,TERRITORY_LIST_ID,0)))</f>
        <v/>
      </c>
      <c r="J29" s="1127" t="s">
        <v>52</v>
      </c>
      <c r="K29" s="465"/>
      <c r="L29" s="44" t="s">
        <v>105</v>
      </c>
      <c r="M29" s="342"/>
      <c r="N29" s="81"/>
      <c r="O29" s="81"/>
      <c r="P29" s="81"/>
      <c r="Q29" s="81"/>
      <c r="R29" s="81"/>
      <c r="S29" s="81"/>
      <c r="T29" s="81"/>
      <c r="U29" s="343"/>
      <c r="V29" s="81"/>
      <c r="W29" s="81"/>
      <c r="X29" s="81"/>
      <c r="Y29" s="81" t="s">
        <v>116</v>
      </c>
      <c r="Z29" s="81">
        <v>1705000</v>
      </c>
      <c r="AA29" s="81"/>
      <c r="AB29" s="81"/>
      <c r="AC29" s="81"/>
      <c r="AD29" s="81"/>
      <c r="AE29" s="81"/>
      <c r="AF29" s="81"/>
      <c r="AG29" s="81"/>
      <c r="AH29" s="81"/>
      <c r="AI29" s="81"/>
      <c r="AJ29" s="81"/>
      <c r="AK29" s="81"/>
      <c r="AL29" s="81"/>
    </row>
    <row r="30" spans="1:80" s="36" customFormat="1" ht="15" customHeight="1">
      <c r="A30"/>
      <c r="B30"/>
      <c r="C30" s="86"/>
      <c r="D30" s="427"/>
      <c r="E30" s="427"/>
      <c r="F30" s="427"/>
      <c r="G30" s="1518"/>
      <c r="H30" s="1116"/>
      <c r="I30" s="1519"/>
      <c r="J30" s="1127"/>
      <c r="K30" s="235"/>
      <c r="L30" s="87"/>
      <c r="M30" s="344" t="s">
        <v>120</v>
      </c>
      <c r="N30" s="81"/>
      <c r="O30" s="81"/>
      <c r="P30" s="81"/>
      <c r="Q30" s="81"/>
      <c r="R30" s="81"/>
      <c r="S30" s="81"/>
      <c r="T30" s="81"/>
      <c r="U30" s="343"/>
      <c r="V30" s="81"/>
      <c r="W30" s="81"/>
      <c r="X30" s="81"/>
      <c r="Y30" s="81"/>
      <c r="Z30" s="81"/>
      <c r="AA30" s="81"/>
      <c r="AB30" s="81"/>
      <c r="AC30" s="81"/>
      <c r="AD30" s="81"/>
      <c r="AE30" s="81"/>
      <c r="AF30" s="81"/>
      <c r="AG30" s="81"/>
      <c r="AH30" s="81"/>
      <c r="AI30" s="81"/>
      <c r="AJ30" s="81"/>
      <c r="AK30" s="81"/>
      <c r="AL30" s="81"/>
    </row>
    <row r="31" spans="1:80" ht="15" customHeight="1">
      <c r="U31" s="94"/>
    </row>
    <row r="32" spans="1:80" ht="15" customHeight="1">
      <c r="A32" s="974" t="s">
        <v>1875</v>
      </c>
      <c r="B32" s="974"/>
      <c r="C32" s="974"/>
      <c r="D32" s="974"/>
      <c r="E32" s="974"/>
      <c r="F32" s="974"/>
      <c r="G32" s="974"/>
      <c r="H32" s="974"/>
      <c r="I32" s="974"/>
      <c r="J32" s="974"/>
      <c r="K32" s="974"/>
      <c r="L32" s="974"/>
      <c r="M32" s="974"/>
      <c r="N32" s="974"/>
      <c r="O32" s="974"/>
      <c r="P32" s="974"/>
      <c r="Q32" s="974"/>
      <c r="R32" s="974"/>
      <c r="S32" s="974"/>
      <c r="T32" s="974"/>
      <c r="U32" s="93"/>
      <c r="V32" s="974"/>
      <c r="W32" s="974"/>
    </row>
    <row r="33" spans="1:38" ht="15" customHeight="1">
      <c r="U33" s="94"/>
    </row>
    <row r="34" spans="1:38" s="36" customFormat="1" ht="15" customHeight="1">
      <c r="A34"/>
      <c r="B34"/>
      <c r="C34" s="86"/>
      <c r="D34" s="427"/>
      <c r="E34" s="427"/>
      <c r="F34" s="427"/>
      <c r="G34" s="427"/>
      <c r="H34" s="427"/>
      <c r="I34" s="427"/>
      <c r="J34" s="427"/>
      <c r="K34" s="971" t="s">
        <v>117</v>
      </c>
      <c r="L34" s="928" t="s">
        <v>105</v>
      </c>
      <c r="M34" s="456"/>
      <c r="N34" s="457"/>
      <c r="O34" s="81"/>
      <c r="P34" s="81"/>
      <c r="Q34" s="81"/>
      <c r="R34" s="81"/>
      <c r="S34" s="81"/>
      <c r="T34" s="81"/>
      <c r="U34" s="343"/>
      <c r="V34" s="81"/>
      <c r="W34" s="81"/>
      <c r="X34" s="81"/>
      <c r="Y34" s="81" t="s">
        <v>116</v>
      </c>
      <c r="Z34" s="81">
        <v>1705000</v>
      </c>
      <c r="AA34" s="81"/>
      <c r="AB34" s="81"/>
      <c r="AC34" s="81"/>
      <c r="AD34" s="81"/>
      <c r="AE34" s="81"/>
      <c r="AF34" s="81"/>
      <c r="AG34" s="81"/>
      <c r="AH34" s="81"/>
      <c r="AI34" s="81"/>
      <c r="AJ34" s="81"/>
      <c r="AK34" s="81"/>
      <c r="AL34" s="81"/>
    </row>
    <row r="35" spans="1:38" ht="15" customHeight="1">
      <c r="U35" s="94"/>
    </row>
    <row r="36" spans="1:38" ht="15" customHeight="1">
      <c r="U36" s="94"/>
    </row>
    <row r="37" spans="1:38" s="974" customFormat="1" ht="11.25" customHeight="1">
      <c r="A37" s="974" t="s">
        <v>1876</v>
      </c>
    </row>
    <row r="38" spans="1:38" ht="11.25" customHeight="1"/>
    <row r="39" spans="1:38" s="252" customFormat="1" ht="22.5" customHeight="1">
      <c r="A39" s="486"/>
      <c r="B39" s="11"/>
      <c r="C39" s="487"/>
      <c r="D39" s="245"/>
      <c r="E39" s="488"/>
      <c r="F39" s="896"/>
      <c r="G39" s="427"/>
      <c r="H39" s="268"/>
    </row>
    <row r="40" spans="1:38" ht="11.25" customHeight="1"/>
    <row r="41" spans="1:38" s="974" customFormat="1" ht="11.25" customHeight="1">
      <c r="A41" s="974" t="s">
        <v>1877</v>
      </c>
    </row>
    <row r="42" spans="1:38" ht="11.25" customHeight="1"/>
    <row r="43" spans="1:38" s="252" customFormat="1" ht="22.5" customHeight="1">
      <c r="A43" s="11"/>
      <c r="B43" s="11"/>
      <c r="C43" s="11"/>
      <c r="D43" s="245"/>
      <c r="E43" s="488"/>
      <c r="F43" s="392"/>
      <c r="G43" s="427"/>
      <c r="H43" s="268"/>
    </row>
    <row r="44" spans="1:38" ht="11.25" customHeight="1"/>
    <row r="45" spans="1:38" s="974" customFormat="1" ht="11.25" customHeight="1">
      <c r="A45" s="974" t="s">
        <v>1878</v>
      </c>
    </row>
    <row r="46" spans="1:38" ht="11.25" customHeight="1"/>
    <row r="47" spans="1:38" s="252" customFormat="1" ht="24" customHeight="1">
      <c r="A47" s="1217" t="s">
        <v>312</v>
      </c>
      <c r="B47" s="287"/>
      <c r="C47" s="1228"/>
      <c r="D47" s="249" t="str">
        <f>A47</f>
        <v>5.1</v>
      </c>
      <c r="E47" s="247" t="s">
        <v>313</v>
      </c>
      <c r="F47" s="40" t="s">
        <v>305</v>
      </c>
      <c r="G47" s="248" t="s">
        <v>314</v>
      </c>
      <c r="H47" s="268"/>
      <c r="I47" s="480"/>
    </row>
    <row r="48" spans="1:38" s="252" customFormat="1" ht="22.5" customHeight="1">
      <c r="A48" s="1217"/>
      <c r="B48" s="287"/>
      <c r="C48" s="1228"/>
      <c r="D48" s="245" t="str">
        <f>D47&amp;".1"</f>
        <v>5.1.1</v>
      </c>
      <c r="E48" s="244" t="s">
        <v>315</v>
      </c>
      <c r="F48" s="246" t="s">
        <v>18</v>
      </c>
      <c r="G48" s="267"/>
      <c r="H48" s="268"/>
      <c r="I48" s="480"/>
    </row>
    <row r="49" spans="1:45" s="252" customFormat="1" ht="22.5" customHeight="1">
      <c r="A49" s="1217"/>
      <c r="B49" s="287"/>
      <c r="C49" s="1228"/>
      <c r="D49" s="245" t="str">
        <f>D47&amp;".2"</f>
        <v>5.1.2</v>
      </c>
      <c r="E49" s="244" t="s">
        <v>316</v>
      </c>
      <c r="F49" s="931" t="s">
        <v>18</v>
      </c>
      <c r="G49" s="248" t="s">
        <v>317</v>
      </c>
      <c r="H49" s="268"/>
      <c r="I49" s="480"/>
    </row>
    <row r="50" spans="1:45" s="252" customFormat="1" ht="22.5" customHeight="1">
      <c r="A50" s="1217"/>
      <c r="B50" s="287"/>
      <c r="C50" s="1228"/>
      <c r="D50" s="245" t="str">
        <f>D47&amp;".3"</f>
        <v>5.1.3</v>
      </c>
      <c r="E50" s="244" t="s">
        <v>318</v>
      </c>
      <c r="F50" s="246" t="s">
        <v>18</v>
      </c>
      <c r="G50" s="267"/>
      <c r="H50" s="268"/>
      <c r="I50" s="480"/>
    </row>
    <row r="51" spans="1:45" s="252" customFormat="1" ht="22.5" customHeight="1">
      <c r="A51" s="1217"/>
      <c r="B51" s="287"/>
      <c r="C51" s="1228"/>
      <c r="D51" s="245" t="str">
        <f>D47&amp;".4"</f>
        <v>5.1.4</v>
      </c>
      <c r="E51" s="244" t="s">
        <v>319</v>
      </c>
      <c r="F51" s="246" t="s">
        <v>18</v>
      </c>
      <c r="G51" s="248" t="s">
        <v>320</v>
      </c>
      <c r="H51" s="268"/>
      <c r="I51" s="480"/>
    </row>
    <row r="54" spans="1:45" s="974" customFormat="1" ht="17.25" customHeight="1">
      <c r="A54" s="974" t="s">
        <v>1879</v>
      </c>
    </row>
    <row r="56" spans="1:45" s="134" customFormat="1" ht="18.75" customHeight="1">
      <c r="A56"/>
      <c r="B56" s="35"/>
      <c r="C56" s="35"/>
      <c r="D56" s="493"/>
      <c r="E56" s="972"/>
      <c r="F56" s="495">
        <v>13</v>
      </c>
      <c r="G56" s="494"/>
      <c r="H56" s="446"/>
      <c r="I56" s="444"/>
      <c r="J56" s="294" t="s">
        <v>62</v>
      </c>
      <c r="K56" s="976" t="s">
        <v>18</v>
      </c>
      <c r="L56"/>
      <c r="M56" s="68"/>
      <c r="N56" s="68"/>
      <c r="O56" s="68"/>
      <c r="P56" s="291" t="s">
        <v>391</v>
      </c>
      <c r="Q56" s="291" t="s">
        <v>392</v>
      </c>
      <c r="R56" s="292" t="s">
        <v>393</v>
      </c>
      <c r="S56" s="68" t="s">
        <v>394</v>
      </c>
      <c r="T56" s="68"/>
      <c r="U56" s="68"/>
      <c r="V56" s="68"/>
    </row>
    <row r="58" spans="1:45" s="974" customFormat="1" ht="11.25" customHeight="1">
      <c r="A58" s="974" t="s">
        <v>1880</v>
      </c>
    </row>
    <row r="60" spans="1:45" s="12" customFormat="1" ht="14.25" customHeight="1">
      <c r="C60" s="24"/>
      <c r="D60" s="240"/>
      <c r="E60" s="393" t="s">
        <v>18</v>
      </c>
      <c r="F60" s="483"/>
      <c r="G60" s="484"/>
      <c r="H60" s="357"/>
      <c r="I60" s="357"/>
      <c r="J60" s="239"/>
      <c r="K60" s="998"/>
      <c r="L60" s="238"/>
      <c r="M60" s="998"/>
      <c r="N60" s="239"/>
      <c r="O60" s="998"/>
      <c r="P60" s="239"/>
      <c r="Q60" s="998"/>
      <c r="R60" s="239"/>
      <c r="S60" s="482"/>
      <c r="T60" s="357"/>
      <c r="U60" s="239"/>
      <c r="V60" s="239"/>
      <c r="W60" s="464"/>
      <c r="X60" s="357"/>
      <c r="Y60" s="239"/>
      <c r="Z60" s="239"/>
      <c r="AA60" s="464"/>
      <c r="AB60" s="357"/>
      <c r="AC60" s="239"/>
      <c r="AD60" s="464"/>
      <c r="AE60"/>
      <c r="AF60"/>
      <c r="AG60"/>
      <c r="AH60"/>
      <c r="AJ60" s="68"/>
      <c r="AK60" s="68"/>
      <c r="AL60" s="68"/>
      <c r="AM60" s="68"/>
      <c r="AN60" s="68"/>
      <c r="AO60" s="68"/>
      <c r="AP60" s="69" t="s">
        <v>380</v>
      </c>
      <c r="AQ60" s="69" t="s">
        <v>380</v>
      </c>
      <c r="AR60" s="68"/>
      <c r="AS60" s="68"/>
    </row>
    <row r="62" spans="1:45" s="974" customFormat="1" ht="11.25" customHeight="1">
      <c r="A62" s="974" t="s">
        <v>1881</v>
      </c>
    </row>
    <row r="64" spans="1:45" s="35" customFormat="1" ht="15" customHeight="1">
      <c r="A64" s="62" t="s">
        <v>86</v>
      </c>
      <c r="B64" s="35" t="s">
        <v>18</v>
      </c>
      <c r="C64" s="51"/>
      <c r="D64" s="44"/>
      <c r="E64" s="215"/>
      <c r="F64" s="215"/>
      <c r="G64" s="933"/>
      <c r="H64" s="976"/>
      <c r="I64" s="358"/>
      <c r="K64" s="158"/>
      <c r="L64" s="102"/>
    </row>
    <row r="66" spans="1:30" s="974" customFormat="1" ht="11.25" customHeight="1">
      <c r="A66" s="974" t="s">
        <v>1882</v>
      </c>
    </row>
    <row r="68" spans="1:30" s="12" customFormat="1" ht="14.25" customHeight="1">
      <c r="A68" s="35"/>
      <c r="B68" s="63"/>
      <c r="C68" s="29"/>
      <c r="D68" s="64"/>
      <c r="E68" s="502"/>
      <c r="F68" s="976"/>
      <c r="G68"/>
      <c r="I68" s="69"/>
      <c r="J68" s="69"/>
    </row>
    <row r="70" spans="1:30" s="974" customFormat="1" ht="11.25" customHeight="1">
      <c r="A70" s="974" t="s">
        <v>1883</v>
      </c>
    </row>
    <row r="72" spans="1:30" s="12" customFormat="1" ht="27" customHeight="1">
      <c r="A72" s="301"/>
      <c r="B72" s="301"/>
      <c r="C72" s="301"/>
      <c r="D72" s="63"/>
      <c r="E72" s="977"/>
      <c r="F72" s="1388"/>
      <c r="G72" s="1389"/>
      <c r="H72" s="1390" t="s">
        <v>62</v>
      </c>
      <c r="I72" s="1392"/>
      <c r="J72" s="1383"/>
      <c r="K72" s="1394"/>
      <c r="L72" s="1385"/>
      <c r="M72" s="1385"/>
      <c r="N72" s="1386"/>
      <c r="O72" s="1386"/>
      <c r="P72" s="1387" t="e">
        <f>DATEDIF(DATEVALUE(N72),DATEVALUE(O72),"y")&amp;"г. "&amp;DATEDIF(DATEVALUE(N72),DATEVALUE(O72),"ym")&amp;"мес. "&amp;DATEVALUE(O72)-DATE(YEAR(DATEVALUE(O72)),MONTH(DATEVALUE(O72)),1)&amp;"дн. "</f>
        <v>#VALUE!</v>
      </c>
      <c r="Q72" s="1382"/>
      <c r="R72" s="1382"/>
      <c r="S72" s="1382"/>
      <c r="T72" s="1383"/>
      <c r="U72" s="1382"/>
      <c r="V72" s="1382"/>
      <c r="W72" s="1382"/>
      <c r="X72" s="1383"/>
      <c r="Y72" s="1380" t="s">
        <v>62</v>
      </c>
      <c r="Z72" s="852"/>
      <c r="AA72" s="42">
        <v>1</v>
      </c>
      <c r="AB72" s="708"/>
      <c r="AD72" s="68" t="s">
        <v>1884</v>
      </c>
    </row>
    <row r="73" spans="1:30" s="12" customFormat="1" ht="10.5" customHeight="1">
      <c r="A73" s="301"/>
      <c r="B73" s="301"/>
      <c r="C73" s="301"/>
      <c r="D73" s="63"/>
      <c r="E73" s="536"/>
      <c r="F73" s="1388"/>
      <c r="G73" s="1389"/>
      <c r="H73" s="1391"/>
      <c r="I73" s="1393"/>
      <c r="J73" s="1384"/>
      <c r="K73" s="1394"/>
      <c r="L73" s="1385"/>
      <c r="M73" s="1385"/>
      <c r="N73" s="1386"/>
      <c r="O73" s="1386"/>
      <c r="P73" s="1387"/>
      <c r="Q73" s="1382"/>
      <c r="R73" s="1382"/>
      <c r="S73" s="1382"/>
      <c r="T73" s="1384"/>
      <c r="U73" s="1382"/>
      <c r="V73" s="1382"/>
      <c r="W73" s="1382"/>
      <c r="X73" s="1384"/>
      <c r="Y73" s="1381"/>
      <c r="Z73" s="41"/>
      <c r="AA73" s="326"/>
      <c r="AB73" s="344" t="s">
        <v>917</v>
      </c>
    </row>
    <row r="75" spans="1:30" s="974" customFormat="1" ht="11.25" customHeight="1">
      <c r="A75" s="974" t="s">
        <v>1885</v>
      </c>
    </row>
    <row r="77" spans="1:30" s="12" customFormat="1" ht="27" customHeight="1">
      <c r="A77" s="301"/>
      <c r="B77" s="301"/>
      <c r="C77" s="301"/>
      <c r="D77" s="63"/>
      <c r="E77" s="977"/>
      <c r="F77" s="970"/>
      <c r="G77" s="946"/>
      <c r="H77" s="947"/>
      <c r="I77" s="948"/>
      <c r="J77" s="949"/>
      <c r="K77" s="950"/>
      <c r="L77" s="951"/>
      <c r="M77" s="951"/>
      <c r="N77" s="952"/>
      <c r="O77" s="952"/>
      <c r="P77" s="953"/>
      <c r="Q77" s="954"/>
      <c r="R77" s="954"/>
      <c r="S77" s="954"/>
      <c r="T77" s="949"/>
      <c r="U77" s="954"/>
      <c r="V77" s="954"/>
      <c r="W77" s="954"/>
      <c r="X77" s="949"/>
      <c r="Y77" s="947"/>
      <c r="Z77" s="852"/>
      <c r="AA77" s="42">
        <v>1</v>
      </c>
      <c r="AB77" s="708"/>
      <c r="AD77" s="68" t="s">
        <v>1884</v>
      </c>
    </row>
    <row r="79" spans="1:30" s="974" customFormat="1" ht="11.25" customHeight="1">
      <c r="A79" s="974" t="s">
        <v>1886</v>
      </c>
    </row>
    <row r="80" spans="1:30" ht="17.25" customHeight="1"/>
    <row r="81" spans="1:58" s="12" customFormat="1" ht="21" customHeight="1">
      <c r="A81" s="311"/>
      <c r="B81" s="301"/>
      <c r="C81" s="301"/>
      <c r="D81" s="63"/>
      <c r="E81" s="11"/>
      <c r="F81" s="655" t="e">
        <f>INDEX(IP_MAIN_LIST_NAME_IP,MATCH(A81,IP_MAIN_LIST_IP_ID,0))&amp;" ("&amp;INDEX(IP_MAIN_START_DATE,MATCH(A81,IP_MAIN_LIST_IP_ID,0))&amp;"-"&amp;INDEX(IP_MAIN_END_DATE,MATCH(A81,IP_MAIN_LIST_IP_ID,0))&amp;")"</f>
        <v>#N/A</v>
      </c>
      <c r="G81" s="656"/>
      <c r="H81" s="656"/>
      <c r="I81" s="673"/>
      <c r="J81" s="673"/>
      <c r="K81" s="674"/>
      <c r="L81" s="674"/>
      <c r="M81" s="674"/>
      <c r="N81" s="675"/>
      <c r="O81" s="675"/>
      <c r="P81" s="675"/>
      <c r="Q81" s="675"/>
      <c r="R81" s="675"/>
      <c r="S81" s="675"/>
      <c r="T81" s="675"/>
      <c r="U81" s="675"/>
      <c r="V81" s="675"/>
      <c r="W81" s="675"/>
      <c r="X81" s="675"/>
      <c r="Y81" s="675"/>
      <c r="Z81" s="675"/>
      <c r="AA81" s="675"/>
      <c r="AB81" s="675"/>
      <c r="AC81" s="675"/>
      <c r="AD81" s="675"/>
      <c r="AE81" s="676"/>
      <c r="AF81" s="674"/>
      <c r="AG81" s="674"/>
      <c r="AH81" s="674"/>
      <c r="AI81" s="674"/>
      <c r="AJ81" s="674"/>
      <c r="AK81" s="674"/>
      <c r="AL81" s="703"/>
      <c r="AM81" s="35"/>
      <c r="AN81" s="35"/>
      <c r="AO81" s="35"/>
      <c r="AP81" s="35"/>
      <c r="AQ81" s="35"/>
      <c r="AR81" s="35"/>
      <c r="AS81" s="35"/>
      <c r="AT81" s="35"/>
      <c r="AU81" s="35"/>
      <c r="AV81" s="35"/>
      <c r="AW81" s="35"/>
      <c r="AX81" s="35"/>
      <c r="AY81" s="35"/>
      <c r="AZ81" s="35"/>
      <c r="BA81" s="35"/>
      <c r="BB81" s="35"/>
      <c r="BC81" s="35"/>
      <c r="BD81" s="35"/>
      <c r="BE81" s="35"/>
      <c r="BF81" s="35"/>
    </row>
    <row r="82" spans="1:58" s="12" customFormat="1" ht="11.25" customHeight="1">
      <c r="A82" s="301"/>
      <c r="B82" s="301"/>
      <c r="C82" s="301"/>
      <c r="D82" s="63"/>
      <c r="E82" s="11"/>
      <c r="F82" s="1405"/>
      <c r="G82" s="1410"/>
      <c r="H82" s="1410" t="s">
        <v>105</v>
      </c>
      <c r="I82" s="1411"/>
      <c r="J82" s="1412"/>
      <c r="K82" s="1413"/>
      <c r="L82" s="1403" t="s">
        <v>52</v>
      </c>
      <c r="M82" s="1128"/>
      <c r="N82" s="667"/>
      <c r="O82" s="666" t="s">
        <v>375</v>
      </c>
      <c r="P82" s="667"/>
      <c r="Q82" s="667"/>
      <c r="R82" s="667"/>
      <c r="S82" s="667"/>
      <c r="T82" s="667"/>
      <c r="U82" s="667"/>
      <c r="V82" s="667"/>
      <c r="W82" s="667"/>
      <c r="X82" s="667"/>
      <c r="Y82" s="667"/>
      <c r="Z82" s="667"/>
      <c r="AA82" s="667"/>
      <c r="AB82" s="667"/>
      <c r="AC82" s="667"/>
      <c r="AD82" s="667"/>
      <c r="AE82" s="667"/>
      <c r="AF82" s="1408"/>
      <c r="AG82" s="1403"/>
      <c r="AH82" s="1403"/>
      <c r="AI82" s="1408"/>
      <c r="AJ82" s="1403"/>
      <c r="AK82" s="1403"/>
      <c r="AL82" s="703"/>
      <c r="AM82" s="35"/>
      <c r="AN82" s="35"/>
      <c r="AO82" s="35"/>
      <c r="AP82" s="35"/>
      <c r="AQ82" s="35"/>
      <c r="AR82" s="35"/>
      <c r="AS82" s="35"/>
      <c r="AT82" s="35"/>
      <c r="AU82" s="35"/>
      <c r="AV82" s="35"/>
      <c r="AW82" s="35"/>
      <c r="AX82" s="35"/>
      <c r="AY82" s="35"/>
      <c r="AZ82" s="35"/>
      <c r="BA82" s="35"/>
      <c r="BB82" s="35"/>
      <c r="BC82" s="35"/>
      <c r="BD82" s="35"/>
      <c r="BE82" s="35"/>
      <c r="BF82" s="35"/>
    </row>
    <row r="83" spans="1:58" s="12" customFormat="1" ht="11.25" customHeight="1">
      <c r="A83" s="301"/>
      <c r="B83" s="301"/>
      <c r="C83" s="301"/>
      <c r="D83" s="63"/>
      <c r="E83" s="11"/>
      <c r="F83" s="1405"/>
      <c r="G83" s="1410"/>
      <c r="H83" s="1410"/>
      <c r="I83" s="1411"/>
      <c r="J83" s="1412"/>
      <c r="K83" s="1413"/>
      <c r="L83" s="1403"/>
      <c r="M83" s="1128"/>
      <c r="N83" s="1414"/>
      <c r="O83" s="1415">
        <v>1</v>
      </c>
      <c r="P83" s="1416" t="s">
        <v>52</v>
      </c>
      <c r="Q83" s="1377" t="s">
        <v>18</v>
      </c>
      <c r="R83" s="1377" t="s">
        <v>18</v>
      </c>
      <c r="S83" s="1377" t="s">
        <v>18</v>
      </c>
      <c r="T83" s="1377" t="s">
        <v>18</v>
      </c>
      <c r="U83" s="1377" t="s">
        <v>18</v>
      </c>
      <c r="V83" s="1377" t="s">
        <v>18</v>
      </c>
      <c r="W83" s="1377" t="s">
        <v>18</v>
      </c>
      <c r="X83" s="1377" t="s">
        <v>18</v>
      </c>
      <c r="Y83" s="1377"/>
      <c r="Z83" s="664"/>
      <c r="AA83" s="665"/>
      <c r="AB83" s="665"/>
      <c r="AC83" s="669"/>
      <c r="AD83" s="669"/>
      <c r="AE83" s="670"/>
      <c r="AF83" s="1408"/>
      <c r="AG83" s="1403"/>
      <c r="AH83" s="1403"/>
      <c r="AI83" s="1408"/>
      <c r="AJ83" s="1403"/>
      <c r="AK83" s="1403"/>
      <c r="AL83" s="703"/>
      <c r="AM83" s="35"/>
      <c r="AN83" s="35"/>
      <c r="AO83" s="35"/>
      <c r="AP83" s="35"/>
      <c r="AQ83" s="35"/>
      <c r="AR83" s="35"/>
      <c r="AS83" s="35"/>
      <c r="AT83" s="35"/>
      <c r="AU83" s="35"/>
      <c r="AV83" s="35"/>
      <c r="AW83" s="35"/>
      <c r="AX83" s="35"/>
      <c r="AY83" s="35"/>
      <c r="AZ83" s="35"/>
      <c r="BA83" s="35"/>
      <c r="BB83" s="35"/>
      <c r="BC83" s="35"/>
      <c r="BD83" s="35"/>
      <c r="BE83" s="35"/>
      <c r="BF83" s="35"/>
    </row>
    <row r="84" spans="1:58" s="12" customFormat="1" ht="11.25" customHeight="1">
      <c r="A84" s="301"/>
      <c r="B84" s="301"/>
      <c r="C84" s="301"/>
      <c r="D84" s="63"/>
      <c r="E84" s="11"/>
      <c r="F84" s="1405"/>
      <c r="G84" s="1410"/>
      <c r="H84" s="1410"/>
      <c r="I84" s="1411"/>
      <c r="J84" s="1412"/>
      <c r="K84" s="1413"/>
      <c r="L84" s="1403"/>
      <c r="M84" s="1128"/>
      <c r="N84" s="1414"/>
      <c r="O84" s="1415"/>
      <c r="P84" s="1417"/>
      <c r="Q84" s="1377"/>
      <c r="R84" s="1377"/>
      <c r="S84" s="1409"/>
      <c r="T84" s="1377"/>
      <c r="U84" s="1377"/>
      <c r="V84" s="1377"/>
      <c r="W84" s="1377"/>
      <c r="X84" s="1377"/>
      <c r="Y84" s="1377"/>
      <c r="Z84" s="978"/>
      <c r="AA84" s="969">
        <v>1</v>
      </c>
      <c r="AB84" s="668"/>
      <c r="AC84" s="371"/>
      <c r="AD84" s="668">
        <f>AB84</f>
        <v>0</v>
      </c>
      <c r="AE84" s="371"/>
      <c r="AF84" s="1408"/>
      <c r="AG84" s="1403"/>
      <c r="AH84" s="1403"/>
      <c r="AI84" s="1408"/>
      <c r="AJ84" s="1403"/>
      <c r="AK84" s="1403"/>
      <c r="AL84" s="703"/>
      <c r="AM84" s="35"/>
      <c r="AN84" s="35"/>
      <c r="AO84" s="35"/>
      <c r="AP84" s="35"/>
      <c r="AQ84" s="35"/>
      <c r="AR84" s="35"/>
      <c r="AS84" s="35"/>
      <c r="AT84" s="35"/>
      <c r="AU84" s="35"/>
      <c r="AV84" s="35"/>
      <c r="AW84" s="35"/>
      <c r="AX84" s="35"/>
      <c r="AY84" s="35"/>
      <c r="AZ84" s="35"/>
      <c r="BA84" s="35"/>
      <c r="BB84" s="35"/>
      <c r="BC84" s="35"/>
      <c r="BD84" s="35"/>
      <c r="BE84" s="35"/>
      <c r="BF84" s="35"/>
    </row>
    <row r="85" spans="1:58" s="12" customFormat="1" ht="11.25" customHeight="1">
      <c r="A85" s="301"/>
      <c r="B85" s="301"/>
      <c r="C85" s="301"/>
      <c r="D85" s="63"/>
      <c r="E85" s="11"/>
      <c r="F85" s="1405"/>
      <c r="G85" s="1410"/>
      <c r="H85" s="1410"/>
      <c r="I85" s="1411"/>
      <c r="J85" s="1412"/>
      <c r="K85" s="1413"/>
      <c r="L85" s="1403"/>
      <c r="M85" s="1128"/>
      <c r="N85" s="1414"/>
      <c r="O85" s="1415"/>
      <c r="P85" s="1418"/>
      <c r="Q85" s="1377"/>
      <c r="R85" s="1377"/>
      <c r="S85" s="1409"/>
      <c r="T85" s="1377"/>
      <c r="U85" s="1377"/>
      <c r="V85" s="1377"/>
      <c r="W85" s="1377"/>
      <c r="X85" s="1377"/>
      <c r="Y85" s="1377"/>
      <c r="Z85" s="664"/>
      <c r="AA85" s="665"/>
      <c r="AB85" s="108" t="s">
        <v>952</v>
      </c>
      <c r="AC85" s="669"/>
      <c r="AD85" s="669"/>
      <c r="AE85" s="671"/>
      <c r="AF85" s="1408"/>
      <c r="AG85" s="1403"/>
      <c r="AH85" s="1403"/>
      <c r="AI85" s="1408"/>
      <c r="AJ85" s="1403"/>
      <c r="AK85" s="1403"/>
      <c r="AL85" s="703"/>
      <c r="AM85" s="35"/>
      <c r="AN85" s="35"/>
      <c r="AO85" s="35"/>
      <c r="AP85" s="35"/>
      <c r="AQ85" s="35"/>
      <c r="AR85" s="35"/>
      <c r="AS85" s="35"/>
      <c r="AT85" s="35"/>
      <c r="AU85" s="35"/>
      <c r="AV85" s="35"/>
      <c r="AW85" s="35"/>
      <c r="AX85" s="35"/>
      <c r="AY85" s="35"/>
      <c r="AZ85" s="35"/>
      <c r="BA85" s="35"/>
      <c r="BB85" s="35"/>
      <c r="BC85" s="35"/>
      <c r="BD85" s="35"/>
      <c r="BE85" s="35"/>
      <c r="BF85" s="35"/>
    </row>
    <row r="86" spans="1:58" s="12" customFormat="1" ht="11.25" customHeight="1">
      <c r="A86" s="301"/>
      <c r="B86" s="301"/>
      <c r="C86" s="301"/>
      <c r="D86" s="63"/>
      <c r="E86" s="11"/>
      <c r="F86" s="1405"/>
      <c r="G86" s="1410"/>
      <c r="H86" s="1410"/>
      <c r="I86" s="1411"/>
      <c r="J86" s="1412"/>
      <c r="K86" s="1413"/>
      <c r="L86" s="1403"/>
      <c r="M86" s="1128"/>
      <c r="N86" s="665"/>
      <c r="O86" s="665"/>
      <c r="P86" s="108" t="s">
        <v>953</v>
      </c>
      <c r="Q86" s="665"/>
      <c r="R86" s="665"/>
      <c r="S86" s="665"/>
      <c r="T86" s="665"/>
      <c r="U86" s="665"/>
      <c r="V86" s="665"/>
      <c r="W86" s="665"/>
      <c r="X86" s="665"/>
      <c r="Y86" s="665"/>
      <c r="Z86" s="665"/>
      <c r="AA86" s="665"/>
      <c r="AB86" s="665"/>
      <c r="AC86" s="665"/>
      <c r="AD86" s="665"/>
      <c r="AE86" s="672"/>
      <c r="AF86" s="1408"/>
      <c r="AG86" s="1403"/>
      <c r="AH86" s="1403"/>
      <c r="AI86" s="1408"/>
      <c r="AJ86" s="1403"/>
      <c r="AK86" s="1403"/>
      <c r="AL86" s="703"/>
      <c r="AM86" s="35"/>
      <c r="AN86" s="35"/>
      <c r="AO86" s="35"/>
      <c r="AP86" s="35"/>
      <c r="AQ86" s="35"/>
      <c r="AR86" s="35"/>
      <c r="AS86" s="35"/>
      <c r="AT86" s="35"/>
      <c r="AU86" s="35"/>
      <c r="AV86" s="35"/>
      <c r="AW86" s="35"/>
      <c r="AX86" s="35"/>
      <c r="AY86" s="35"/>
      <c r="AZ86" s="35"/>
      <c r="BA86" s="35"/>
      <c r="BB86" s="35"/>
      <c r="BC86" s="35"/>
      <c r="BD86" s="35"/>
      <c r="BE86" s="35"/>
      <c r="BF86" s="35"/>
    </row>
    <row r="87" spans="1:58" s="12" customFormat="1" ht="12" customHeight="1">
      <c r="A87" s="301"/>
      <c r="B87" s="301"/>
      <c r="C87" s="301"/>
      <c r="D87" s="63"/>
      <c r="E87" s="11"/>
      <c r="F87" s="1407"/>
      <c r="G87" s="677"/>
      <c r="H87" s="677"/>
      <c r="I87" s="1404" t="s">
        <v>961</v>
      </c>
      <c r="J87" s="1404"/>
      <c r="K87" s="1404"/>
      <c r="L87" s="662"/>
      <c r="M87" s="662"/>
      <c r="N87" s="663"/>
      <c r="O87" s="663"/>
      <c r="P87" s="663"/>
      <c r="Q87" s="663"/>
      <c r="R87" s="663"/>
      <c r="S87" s="663"/>
      <c r="T87" s="663"/>
      <c r="U87" s="663"/>
      <c r="V87" s="663"/>
      <c r="W87" s="663"/>
      <c r="X87" s="663"/>
      <c r="Y87" s="663"/>
      <c r="Z87" s="663"/>
      <c r="AA87" s="663"/>
      <c r="AB87" s="663"/>
      <c r="AC87" s="663"/>
      <c r="AD87" s="663"/>
      <c r="AE87" s="663"/>
      <c r="AF87" s="663"/>
      <c r="AG87" s="662"/>
      <c r="AH87" s="662"/>
      <c r="AI87" s="663"/>
      <c r="AJ87" s="662"/>
      <c r="AK87" s="663"/>
      <c r="AL87" s="703"/>
      <c r="AM87" s="35"/>
      <c r="AN87" s="35"/>
      <c r="AO87" s="35"/>
      <c r="AP87" s="35"/>
      <c r="AQ87" s="35"/>
      <c r="AR87" s="35"/>
      <c r="AS87" s="35"/>
      <c r="AT87" s="35"/>
      <c r="AU87" s="35"/>
      <c r="AV87" s="35"/>
      <c r="AW87" s="35"/>
      <c r="AX87" s="35"/>
      <c r="AY87" s="35"/>
      <c r="AZ87" s="35"/>
      <c r="BA87" s="35"/>
      <c r="BB87" s="35"/>
      <c r="BC87" s="35"/>
      <c r="BD87" s="35"/>
      <c r="BE87" s="35"/>
      <c r="BF87" s="35"/>
    </row>
    <row r="89" spans="1:58" s="974" customFormat="1" ht="11.25" customHeight="1">
      <c r="A89" s="974" t="s">
        <v>1887</v>
      </c>
    </row>
    <row r="91" spans="1:58" s="12" customFormat="1" ht="11.25" customHeight="1">
      <c r="A91" s="301"/>
      <c r="B91" s="301"/>
      <c r="C91" s="301"/>
      <c r="D91" s="63"/>
      <c r="E91" s="11"/>
      <c r="F91" s="979"/>
      <c r="G91" s="980"/>
      <c r="H91" s="980"/>
      <c r="I91" s="864"/>
      <c r="J91" s="864"/>
      <c r="K91" s="981"/>
      <c r="L91" s="864"/>
      <c r="M91" s="980"/>
      <c r="N91" s="1423"/>
      <c r="O91" s="1415">
        <v>1</v>
      </c>
      <c r="P91" s="1416" t="s">
        <v>52</v>
      </c>
      <c r="Q91" s="1377" t="s">
        <v>18</v>
      </c>
      <c r="R91" s="1377" t="s">
        <v>18</v>
      </c>
      <c r="S91" s="1377" t="s">
        <v>18</v>
      </c>
      <c r="T91" s="1377" t="s">
        <v>18</v>
      </c>
      <c r="U91" s="1377" t="s">
        <v>18</v>
      </c>
      <c r="V91" s="1377" t="s">
        <v>18</v>
      </c>
      <c r="W91" s="1377" t="s">
        <v>18</v>
      </c>
      <c r="X91" s="1377" t="s">
        <v>18</v>
      </c>
      <c r="Y91" s="1377"/>
      <c r="Z91" s="664"/>
      <c r="AA91" s="665"/>
      <c r="AB91" s="665"/>
      <c r="AC91" s="669"/>
      <c r="AD91" s="669"/>
      <c r="AE91" s="669"/>
      <c r="AF91" s="982"/>
      <c r="AG91" s="957"/>
      <c r="AH91" s="957"/>
      <c r="AI91" s="982"/>
      <c r="AJ91" s="957"/>
      <c r="AK91" s="1047"/>
      <c r="AL91" s="703"/>
      <c r="AM91" s="35"/>
      <c r="AN91" s="35"/>
      <c r="AO91" s="35"/>
      <c r="AP91" s="35"/>
      <c r="AQ91" s="35"/>
      <c r="AR91" s="35"/>
      <c r="AS91" s="35"/>
      <c r="AT91" s="35"/>
      <c r="AU91" s="35"/>
      <c r="AV91" s="35"/>
      <c r="AW91" s="35"/>
      <c r="AX91" s="35"/>
      <c r="AY91" s="35"/>
      <c r="AZ91" s="35"/>
      <c r="BA91" s="35"/>
      <c r="BB91" s="35"/>
      <c r="BC91" s="35"/>
      <c r="BD91" s="35"/>
      <c r="BE91" s="35"/>
      <c r="BF91" s="35"/>
    </row>
    <row r="92" spans="1:58" s="12" customFormat="1" ht="11.25" customHeight="1">
      <c r="A92" s="301"/>
      <c r="B92" s="301"/>
      <c r="C92" s="301"/>
      <c r="D92" s="63"/>
      <c r="E92" s="11"/>
      <c r="F92" s="979"/>
      <c r="G92" s="980"/>
      <c r="H92" s="980"/>
      <c r="I92" s="961"/>
      <c r="J92" s="961"/>
      <c r="K92" s="981"/>
      <c r="L92" s="961"/>
      <c r="M92" s="980"/>
      <c r="N92" s="1423"/>
      <c r="O92" s="1415"/>
      <c r="P92" s="1417"/>
      <c r="Q92" s="1377"/>
      <c r="R92" s="1377"/>
      <c r="S92" s="1409"/>
      <c r="T92" s="1377"/>
      <c r="U92" s="1377"/>
      <c r="V92" s="1377"/>
      <c r="W92" s="1377"/>
      <c r="X92" s="1377"/>
      <c r="Y92" s="1377"/>
      <c r="Z92" s="978"/>
      <c r="AA92" s="969">
        <v>1</v>
      </c>
      <c r="AB92" s="668"/>
      <c r="AC92" s="371"/>
      <c r="AD92" s="668">
        <f>AB92</f>
        <v>0</v>
      </c>
      <c r="AE92" s="412"/>
      <c r="AF92" s="981"/>
      <c r="AG92" s="957"/>
      <c r="AH92" s="957"/>
      <c r="AI92" s="981"/>
      <c r="AJ92" s="957"/>
      <c r="AK92" s="1047"/>
      <c r="AL92" s="703"/>
      <c r="AM92" s="35"/>
      <c r="AN92" s="35"/>
      <c r="AO92" s="35"/>
      <c r="AP92" s="35"/>
      <c r="AQ92" s="35"/>
      <c r="AR92" s="35"/>
      <c r="AS92" s="35"/>
      <c r="AT92" s="35"/>
      <c r="AU92" s="35"/>
      <c r="AV92" s="35"/>
      <c r="AW92" s="35"/>
      <c r="AX92" s="35"/>
      <c r="AY92" s="35"/>
      <c r="AZ92" s="35"/>
      <c r="BA92" s="35"/>
      <c r="BB92" s="35"/>
      <c r="BC92" s="35"/>
      <c r="BD92" s="35"/>
      <c r="BE92" s="35"/>
      <c r="BF92" s="35"/>
    </row>
    <row r="93" spans="1:58" s="12" customFormat="1" ht="11.25" customHeight="1">
      <c r="A93" s="301"/>
      <c r="B93" s="301"/>
      <c r="C93" s="301"/>
      <c r="D93" s="63"/>
      <c r="E93" s="11"/>
      <c r="F93" s="979"/>
      <c r="G93" s="980"/>
      <c r="H93" s="980"/>
      <c r="I93" s="962"/>
      <c r="J93" s="962"/>
      <c r="K93" s="981"/>
      <c r="L93" s="962"/>
      <c r="M93" s="980"/>
      <c r="N93" s="1423"/>
      <c r="O93" s="1415"/>
      <c r="P93" s="1418"/>
      <c r="Q93" s="1377"/>
      <c r="R93" s="1377"/>
      <c r="S93" s="1409"/>
      <c r="T93" s="1377"/>
      <c r="U93" s="1377"/>
      <c r="V93" s="1377"/>
      <c r="W93" s="1377"/>
      <c r="X93" s="1377"/>
      <c r="Y93" s="1377"/>
      <c r="Z93" s="664"/>
      <c r="AA93" s="665"/>
      <c r="AB93" s="108" t="s">
        <v>952</v>
      </c>
      <c r="AC93" s="669"/>
      <c r="AD93" s="669"/>
      <c r="AE93" s="669"/>
      <c r="AF93" s="983"/>
      <c r="AG93" s="957"/>
      <c r="AH93" s="957"/>
      <c r="AI93" s="983"/>
      <c r="AJ93" s="957"/>
      <c r="AK93" s="1047"/>
      <c r="AL93" s="703"/>
      <c r="AM93" s="35"/>
      <c r="AN93" s="35"/>
      <c r="AO93" s="35"/>
      <c r="AP93" s="35"/>
      <c r="AQ93" s="35"/>
      <c r="AR93" s="35"/>
      <c r="AS93" s="35"/>
      <c r="AT93" s="35"/>
      <c r="AU93" s="35"/>
      <c r="AV93" s="35"/>
      <c r="AW93" s="35"/>
      <c r="AX93" s="35"/>
      <c r="AY93" s="35"/>
      <c r="AZ93" s="35"/>
      <c r="BA93" s="35"/>
      <c r="BB93" s="35"/>
      <c r="BC93" s="35"/>
      <c r="BD93" s="35"/>
      <c r="BE93" s="35"/>
      <c r="BF93" s="35"/>
    </row>
    <row r="95" spans="1:58" s="974" customFormat="1" ht="11.25" customHeight="1">
      <c r="A95" s="974" t="s">
        <v>1888</v>
      </c>
    </row>
    <row r="97" spans="1:184" s="12" customFormat="1" ht="11.25" customHeight="1">
      <c r="A97" s="301"/>
      <c r="B97" s="301"/>
      <c r="C97" s="301"/>
      <c r="D97" s="63"/>
      <c r="E97" s="11"/>
      <c r="F97" s="980"/>
      <c r="G97" s="980"/>
      <c r="H97" s="980"/>
      <c r="I97" s="980"/>
      <c r="J97" s="980"/>
      <c r="K97" s="980"/>
      <c r="L97" s="980"/>
      <c r="M97" s="980"/>
      <c r="N97" s="980"/>
      <c r="O97" s="980"/>
      <c r="P97" s="980"/>
      <c r="Q97" s="980"/>
      <c r="R97" s="980"/>
      <c r="S97" s="980"/>
      <c r="T97" s="980"/>
      <c r="U97" s="980"/>
      <c r="V97" s="980"/>
      <c r="W97" s="980"/>
      <c r="X97" s="980"/>
      <c r="Y97" s="980"/>
      <c r="Z97" s="984"/>
      <c r="AA97" s="973">
        <v>1</v>
      </c>
      <c r="AB97" s="668"/>
      <c r="AC97" s="371"/>
      <c r="AD97" s="668">
        <f>AB97</f>
        <v>0</v>
      </c>
      <c r="AE97" s="371"/>
      <c r="AF97" s="981"/>
      <c r="AG97" s="957"/>
      <c r="AH97" s="957"/>
      <c r="AI97" s="981"/>
      <c r="AJ97" s="957"/>
      <c r="AK97" s="1047"/>
      <c r="AL97" s="703"/>
      <c r="AM97" s="35"/>
      <c r="AN97" s="35"/>
      <c r="AO97" s="35"/>
      <c r="AP97" s="35"/>
      <c r="AQ97" s="35"/>
      <c r="AR97" s="35"/>
      <c r="AS97" s="35"/>
      <c r="AT97" s="35"/>
      <c r="AU97" s="35"/>
      <c r="AV97" s="35"/>
      <c r="AW97" s="35"/>
      <c r="AX97" s="35"/>
      <c r="AY97" s="35"/>
      <c r="AZ97" s="35"/>
      <c r="BA97" s="35"/>
      <c r="BB97" s="35"/>
      <c r="BC97" s="35"/>
      <c r="BD97" s="35"/>
      <c r="BE97" s="35"/>
      <c r="BF97" s="35"/>
    </row>
    <row r="99" spans="1:184" s="974" customFormat="1" ht="11.25" customHeight="1">
      <c r="A99" s="974" t="s">
        <v>1889</v>
      </c>
    </row>
    <row r="101" spans="1:184" s="12" customFormat="1" ht="11.25" customHeight="1">
      <c r="A101" s="301"/>
      <c r="B101" s="301"/>
      <c r="C101" s="301"/>
      <c r="D101" s="63"/>
      <c r="E101" s="11"/>
      <c r="F101" s="979"/>
      <c r="G101" s="980"/>
      <c r="H101" s="1410" t="s">
        <v>105</v>
      </c>
      <c r="I101" s="1411"/>
      <c r="J101" s="1412"/>
      <c r="K101" s="1413"/>
      <c r="L101" s="1127" t="s">
        <v>52</v>
      </c>
      <c r="M101" s="1128"/>
      <c r="N101" s="1046"/>
      <c r="O101" s="666" t="s">
        <v>375</v>
      </c>
      <c r="P101" s="667"/>
      <c r="Q101" s="667"/>
      <c r="R101" s="667"/>
      <c r="S101" s="667"/>
      <c r="T101" s="667"/>
      <c r="U101" s="667"/>
      <c r="V101" s="667"/>
      <c r="W101" s="667"/>
      <c r="X101" s="667"/>
      <c r="Y101" s="667"/>
      <c r="Z101" s="667"/>
      <c r="AA101" s="667"/>
      <c r="AB101" s="667"/>
      <c r="AC101" s="667"/>
      <c r="AD101" s="667"/>
      <c r="AE101" s="667"/>
      <c r="AF101" s="1408"/>
      <c r="AG101" s="1403"/>
      <c r="AH101" s="1403"/>
      <c r="AI101" s="1408"/>
      <c r="AJ101" s="1403"/>
      <c r="AK101" s="1403"/>
      <c r="AL101" s="703"/>
      <c r="AM101" s="35"/>
      <c r="AN101" s="35"/>
      <c r="AO101" s="35"/>
      <c r="AP101" s="35"/>
      <c r="AQ101" s="35"/>
      <c r="AR101" s="35"/>
      <c r="AS101" s="35"/>
      <c r="AT101" s="35"/>
      <c r="AU101" s="35"/>
      <c r="AV101" s="35"/>
      <c r="AW101" s="35"/>
      <c r="AX101" s="35"/>
      <c r="AY101" s="35"/>
      <c r="AZ101" s="35"/>
      <c r="BA101" s="35"/>
      <c r="BB101" s="35"/>
      <c r="BC101" s="35"/>
      <c r="BD101" s="35"/>
      <c r="BE101" s="35"/>
      <c r="BF101" s="35"/>
    </row>
    <row r="102" spans="1:184" s="12" customFormat="1" ht="11.25" customHeight="1">
      <c r="A102" s="301"/>
      <c r="B102" s="301"/>
      <c r="C102" s="301"/>
      <c r="D102" s="63"/>
      <c r="E102" s="11"/>
      <c r="F102" s="979"/>
      <c r="G102" s="980"/>
      <c r="H102" s="1410"/>
      <c r="I102" s="1411"/>
      <c r="J102" s="1412"/>
      <c r="K102" s="1413"/>
      <c r="L102" s="1127"/>
      <c r="M102" s="1128"/>
      <c r="N102" s="1423"/>
      <c r="O102" s="1424">
        <v>1</v>
      </c>
      <c r="P102" s="1416" t="s">
        <v>52</v>
      </c>
      <c r="Q102" s="1377" t="s">
        <v>18</v>
      </c>
      <c r="R102" s="1377" t="s">
        <v>18</v>
      </c>
      <c r="S102" s="1377" t="s">
        <v>18</v>
      </c>
      <c r="T102" s="1377" t="s">
        <v>18</v>
      </c>
      <c r="U102" s="1377" t="s">
        <v>18</v>
      </c>
      <c r="V102" s="1377" t="s">
        <v>18</v>
      </c>
      <c r="W102" s="1377" t="s">
        <v>18</v>
      </c>
      <c r="X102" s="1377" t="s">
        <v>18</v>
      </c>
      <c r="Y102" s="1377"/>
      <c r="Z102" s="664"/>
      <c r="AA102" s="665"/>
      <c r="AB102" s="665"/>
      <c r="AC102" s="669"/>
      <c r="AD102" s="669"/>
      <c r="AE102" s="670"/>
      <c r="AF102" s="1408"/>
      <c r="AG102" s="1403"/>
      <c r="AH102" s="1403"/>
      <c r="AI102" s="1408"/>
      <c r="AJ102" s="1403"/>
      <c r="AK102" s="1403"/>
      <c r="AL102" s="703"/>
      <c r="AM102" s="35"/>
      <c r="AN102" s="35"/>
      <c r="AO102" s="35"/>
      <c r="AP102" s="35"/>
      <c r="AQ102" s="35"/>
      <c r="AR102" s="35"/>
      <c r="AS102" s="35"/>
      <c r="AT102" s="35"/>
      <c r="AU102" s="35"/>
      <c r="AV102" s="35"/>
      <c r="AW102" s="35"/>
      <c r="AX102" s="35"/>
      <c r="AY102" s="35"/>
      <c r="AZ102" s="35"/>
      <c r="BA102" s="35"/>
      <c r="BB102" s="35"/>
      <c r="BC102" s="35"/>
      <c r="BD102" s="35"/>
      <c r="BE102" s="35"/>
      <c r="BF102" s="35"/>
    </row>
    <row r="103" spans="1:184" s="12" customFormat="1" ht="11.25" customHeight="1">
      <c r="A103" s="301"/>
      <c r="B103" s="301"/>
      <c r="C103" s="301"/>
      <c r="D103" s="63"/>
      <c r="E103" s="11"/>
      <c r="F103" s="979"/>
      <c r="G103" s="980"/>
      <c r="H103" s="1410"/>
      <c r="I103" s="1411"/>
      <c r="J103" s="1412"/>
      <c r="K103" s="1413"/>
      <c r="L103" s="1127"/>
      <c r="M103" s="1128"/>
      <c r="N103" s="1423"/>
      <c r="O103" s="1424"/>
      <c r="P103" s="1417"/>
      <c r="Q103" s="1377"/>
      <c r="R103" s="1377"/>
      <c r="S103" s="1409"/>
      <c r="T103" s="1377"/>
      <c r="U103" s="1377"/>
      <c r="V103" s="1377"/>
      <c r="W103" s="1377"/>
      <c r="X103" s="1377"/>
      <c r="Y103" s="1377"/>
      <c r="Z103" s="978"/>
      <c r="AA103" s="969">
        <v>1</v>
      </c>
      <c r="AB103" s="668"/>
      <c r="AC103" s="371"/>
      <c r="AD103" s="668">
        <f>AB103</f>
        <v>0</v>
      </c>
      <c r="AE103" s="371"/>
      <c r="AF103" s="1408"/>
      <c r="AG103" s="1403"/>
      <c r="AH103" s="1403"/>
      <c r="AI103" s="1408"/>
      <c r="AJ103" s="1403"/>
      <c r="AK103" s="1403"/>
      <c r="AL103" s="703"/>
      <c r="AM103" s="35"/>
      <c r="AN103" s="35"/>
      <c r="AO103" s="35"/>
      <c r="AP103" s="35"/>
      <c r="AQ103" s="35"/>
      <c r="AR103" s="35"/>
      <c r="AS103" s="35"/>
      <c r="AT103" s="35"/>
      <c r="AU103" s="35"/>
      <c r="AV103" s="35"/>
      <c r="AW103" s="35"/>
      <c r="AX103" s="35"/>
      <c r="AY103" s="35"/>
      <c r="AZ103" s="35"/>
      <c r="BA103" s="35"/>
      <c r="BB103" s="35"/>
      <c r="BC103" s="35"/>
      <c r="BD103" s="35"/>
      <c r="BE103" s="35"/>
      <c r="BF103" s="35"/>
    </row>
    <row r="104" spans="1:184" s="12" customFormat="1" ht="11.25" customHeight="1">
      <c r="A104" s="301"/>
      <c r="B104" s="301"/>
      <c r="C104" s="301"/>
      <c r="D104" s="63"/>
      <c r="E104" s="11"/>
      <c r="F104" s="979"/>
      <c r="G104" s="980"/>
      <c r="H104" s="1410"/>
      <c r="I104" s="1411"/>
      <c r="J104" s="1412"/>
      <c r="K104" s="1413"/>
      <c r="L104" s="1127"/>
      <c r="M104" s="1128"/>
      <c r="N104" s="1423"/>
      <c r="O104" s="1424"/>
      <c r="P104" s="1418"/>
      <c r="Q104" s="1377"/>
      <c r="R104" s="1377"/>
      <c r="S104" s="1409"/>
      <c r="T104" s="1377"/>
      <c r="U104" s="1377"/>
      <c r="V104" s="1377"/>
      <c r="W104" s="1377"/>
      <c r="X104" s="1377"/>
      <c r="Y104" s="1377"/>
      <c r="Z104" s="664"/>
      <c r="AA104" s="665"/>
      <c r="AB104" s="108" t="s">
        <v>952</v>
      </c>
      <c r="AC104" s="669"/>
      <c r="AD104" s="669"/>
      <c r="AE104" s="671"/>
      <c r="AF104" s="1408"/>
      <c r="AG104" s="1403"/>
      <c r="AH104" s="1403"/>
      <c r="AI104" s="1408"/>
      <c r="AJ104" s="1403"/>
      <c r="AK104" s="1403"/>
      <c r="AL104" s="703"/>
      <c r="AM104" s="35"/>
      <c r="AN104" s="35"/>
      <c r="AO104" s="35"/>
      <c r="AP104" s="35"/>
      <c r="AQ104" s="35"/>
      <c r="AR104" s="35"/>
      <c r="AS104" s="35"/>
      <c r="AT104" s="35"/>
      <c r="AU104" s="35"/>
      <c r="AV104" s="35"/>
      <c r="AW104" s="35"/>
      <c r="AX104" s="35"/>
      <c r="AY104" s="35"/>
      <c r="AZ104" s="35"/>
      <c r="BA104" s="35"/>
      <c r="BB104" s="35"/>
      <c r="BC104" s="35"/>
      <c r="BD104" s="35"/>
      <c r="BE104" s="35"/>
      <c r="BF104" s="35"/>
    </row>
    <row r="105" spans="1:184" s="12" customFormat="1" ht="11.25" customHeight="1">
      <c r="A105" s="301"/>
      <c r="B105" s="301"/>
      <c r="C105" s="301"/>
      <c r="D105" s="63"/>
      <c r="E105" s="11"/>
      <c r="F105" s="979"/>
      <c r="G105" s="980"/>
      <c r="H105" s="1410"/>
      <c r="I105" s="1411"/>
      <c r="J105" s="1412"/>
      <c r="K105" s="1413"/>
      <c r="L105" s="1127"/>
      <c r="M105" s="1128"/>
      <c r="N105" s="664"/>
      <c r="O105" s="665"/>
      <c r="P105" s="108" t="s">
        <v>953</v>
      </c>
      <c r="Q105" s="665"/>
      <c r="R105" s="665"/>
      <c r="S105" s="665"/>
      <c r="T105" s="665"/>
      <c r="U105" s="665"/>
      <c r="V105" s="665"/>
      <c r="W105" s="665"/>
      <c r="X105" s="665"/>
      <c r="Y105" s="665"/>
      <c r="Z105" s="665"/>
      <c r="AA105" s="665"/>
      <c r="AB105" s="665"/>
      <c r="AC105" s="665"/>
      <c r="AD105" s="665"/>
      <c r="AE105" s="672"/>
      <c r="AF105" s="1408"/>
      <c r="AG105" s="1403"/>
      <c r="AH105" s="1403"/>
      <c r="AI105" s="1408"/>
      <c r="AJ105" s="1403"/>
      <c r="AK105" s="1403"/>
      <c r="AL105" s="703"/>
      <c r="AM105" s="35"/>
      <c r="AN105" s="35"/>
      <c r="AO105" s="35"/>
      <c r="AP105" s="35"/>
      <c r="AQ105" s="35"/>
      <c r="AR105" s="35"/>
      <c r="AS105" s="35"/>
      <c r="AT105" s="35"/>
      <c r="AU105" s="35"/>
      <c r="AV105" s="35"/>
      <c r="AW105" s="35"/>
      <c r="AX105" s="35"/>
      <c r="AY105" s="35"/>
      <c r="AZ105" s="35"/>
      <c r="BA105" s="35"/>
      <c r="BB105" s="35"/>
      <c r="BC105" s="35"/>
      <c r="BD105" s="35"/>
      <c r="BE105" s="35"/>
      <c r="BF105" s="35"/>
    </row>
    <row r="107" spans="1:184" s="974" customFormat="1" ht="11.25" customHeight="1">
      <c r="A107" s="974" t="s">
        <v>1890</v>
      </c>
    </row>
    <row r="108" spans="1:184" ht="17.25" customHeight="1"/>
    <row r="109" spans="1:184" s="524" customFormat="1" ht="21" customHeight="1">
      <c r="A109" s="311"/>
      <c r="B109" s="525"/>
      <c r="E109" s="532" t="s">
        <v>18</v>
      </c>
      <c r="F109" s="654" t="e">
        <f>INDEX(IP_MAIN_LIST_NAME_IP,MATCH(A109,IP_MAIN_LIST_IP_ID,0))&amp;" ("&amp;INDEX(IP_MAIN_START_DATE,MATCH(A109,IP_MAIN_LIST_IP_ID,0))&amp;"-"&amp;INDEX(IP_MAIN_END_DATE,MATCH(A109,IP_MAIN_LIST_IP_ID,0))&amp;")"</f>
        <v>#N/A</v>
      </c>
      <c r="G109" s="687"/>
      <c r="H109" s="688"/>
      <c r="I109" s="688"/>
      <c r="J109" s="688"/>
      <c r="K109" s="688"/>
      <c r="L109" s="688"/>
      <c r="M109" s="688"/>
      <c r="N109" s="688"/>
      <c r="O109" s="687"/>
      <c r="P109" s="687"/>
      <c r="Q109" s="687"/>
      <c r="R109" s="687"/>
      <c r="S109" s="687"/>
      <c r="T109" s="687"/>
      <c r="U109" s="689"/>
      <c r="V109" s="689"/>
      <c r="W109" s="689"/>
      <c r="X109" s="689"/>
      <c r="Y109" s="689"/>
      <c r="Z109" s="689"/>
      <c r="AA109" s="689"/>
      <c r="AB109" s="687"/>
      <c r="AC109" s="688"/>
      <c r="AD109" s="688"/>
      <c r="AE109" s="688"/>
      <c r="AF109" s="688"/>
      <c r="AG109" s="688"/>
      <c r="AH109" s="688"/>
      <c r="AI109" s="688"/>
      <c r="AJ109" s="688"/>
      <c r="AK109" s="688"/>
      <c r="AL109" s="688"/>
      <c r="AM109" s="688"/>
      <c r="AN109" s="688"/>
      <c r="AO109" s="688"/>
      <c r="AP109" s="688"/>
      <c r="AQ109" s="688"/>
      <c r="AR109" s="688"/>
      <c r="AS109" s="688"/>
      <c r="AT109" s="688"/>
      <c r="AU109" s="688"/>
      <c r="AV109" s="688"/>
      <c r="AW109" s="688"/>
      <c r="AX109" s="688"/>
      <c r="AY109" s="688"/>
      <c r="AZ109" s="688"/>
      <c r="BA109" s="688"/>
      <c r="BB109" s="688"/>
      <c r="BC109" s="688"/>
      <c r="BD109" s="688"/>
      <c r="BE109" s="688"/>
      <c r="BF109" s="688"/>
      <c r="BG109" s="688"/>
      <c r="BH109" s="688"/>
      <c r="BI109" s="688"/>
      <c r="BJ109" s="688"/>
      <c r="BK109" s="688"/>
      <c r="BL109" s="688"/>
      <c r="BM109" s="688"/>
      <c r="BN109" s="688"/>
      <c r="BO109" s="688"/>
      <c r="BP109" s="688"/>
      <c r="BQ109" s="688"/>
      <c r="BR109" s="688"/>
      <c r="BS109" s="688"/>
      <c r="BT109" s="688"/>
      <c r="BU109" s="688"/>
      <c r="BV109" s="688"/>
      <c r="BW109" s="688"/>
      <c r="BX109" s="688"/>
      <c r="BY109" s="688"/>
      <c r="BZ109" s="688"/>
      <c r="CA109" s="688"/>
      <c r="CB109" s="688"/>
      <c r="CC109" s="688"/>
      <c r="CD109" s="688"/>
      <c r="CE109" s="688"/>
      <c r="CF109" s="688"/>
      <c r="CG109" s="688"/>
      <c r="CH109" s="688"/>
      <c r="CI109" s="688"/>
      <c r="CJ109" s="688"/>
      <c r="CK109" s="688"/>
      <c r="CL109" s="690"/>
      <c r="CM109" s="690"/>
      <c r="CN109" s="690"/>
      <c r="CO109" s="690"/>
      <c r="CP109" s="690"/>
      <c r="CQ109" s="690"/>
      <c r="CR109" s="690"/>
      <c r="CS109" s="690"/>
      <c r="CT109" s="690"/>
      <c r="CU109" s="690"/>
      <c r="CV109" s="690"/>
      <c r="CW109" s="690"/>
      <c r="CX109" s="690"/>
      <c r="CY109" s="690"/>
      <c r="CZ109" s="690"/>
      <c r="DA109" s="690"/>
      <c r="DB109" s="690"/>
      <c r="DC109" s="690"/>
      <c r="DD109" s="690"/>
      <c r="DE109" s="690"/>
      <c r="DF109" s="690"/>
      <c r="DG109" s="690"/>
      <c r="DH109" s="690"/>
      <c r="DI109" s="690"/>
      <c r="DJ109" s="690"/>
      <c r="DK109" s="690"/>
      <c r="DL109" s="690"/>
      <c r="DM109" s="690"/>
      <c r="DN109" s="690"/>
      <c r="DO109" s="690"/>
      <c r="DP109" s="690"/>
      <c r="DQ109" s="690"/>
      <c r="DR109" s="690"/>
      <c r="DS109" s="690"/>
      <c r="DT109" s="690"/>
      <c r="DU109" s="690"/>
      <c r="DV109" s="690"/>
      <c r="DW109" s="690"/>
      <c r="DX109" s="690"/>
      <c r="DY109" s="690"/>
      <c r="DZ109" s="690"/>
      <c r="EA109" s="690"/>
      <c r="EB109" s="690"/>
      <c r="EC109" s="690"/>
      <c r="ED109" s="690"/>
      <c r="EE109" s="690"/>
      <c r="EF109" s="690"/>
      <c r="EG109" s="690"/>
      <c r="EH109" s="690"/>
      <c r="EI109" s="690"/>
      <c r="EJ109" s="690"/>
      <c r="EK109" s="690"/>
      <c r="EL109" s="690"/>
      <c r="EM109" s="690"/>
      <c r="EN109" s="690"/>
      <c r="EO109" s="690"/>
      <c r="EP109" s="690"/>
      <c r="EQ109" s="690"/>
      <c r="ER109" s="690"/>
      <c r="ES109" s="690"/>
      <c r="ET109" s="690"/>
      <c r="EU109" s="690"/>
      <c r="EV109" s="690"/>
      <c r="EW109" s="690"/>
      <c r="EX109" s="690"/>
      <c r="EY109" s="690"/>
      <c r="EZ109" s="690"/>
      <c r="FA109" s="690"/>
      <c r="FB109" s="690"/>
      <c r="FC109" s="690"/>
      <c r="FD109" s="690"/>
      <c r="FE109" s="690"/>
      <c r="FF109" s="690"/>
      <c r="FG109" s="690"/>
      <c r="FH109" s="690"/>
      <c r="FI109" s="690"/>
      <c r="FJ109" s="690"/>
      <c r="FK109" s="690"/>
      <c r="FL109" s="690"/>
      <c r="FM109" s="690"/>
      <c r="FN109" s="690"/>
      <c r="FO109" s="690"/>
      <c r="FP109" s="690"/>
      <c r="FQ109" s="690"/>
      <c r="FR109" s="690"/>
      <c r="FS109" s="690"/>
      <c r="FT109" s="690"/>
      <c r="FU109" s="690"/>
      <c r="FV109" s="691"/>
      <c r="FW109" s="686"/>
      <c r="FX109" s="652"/>
    </row>
    <row r="110" spans="1:184" s="524" customFormat="1" ht="24.75" customHeight="1">
      <c r="B110" s="525"/>
      <c r="E110"/>
      <c r="F110" s="45">
        <v>1</v>
      </c>
      <c r="G110" s="607"/>
      <c r="H110" s="200"/>
      <c r="I110" s="1043"/>
      <c r="J110" s="692"/>
      <c r="K110" s="692"/>
      <c r="L110" s="692"/>
      <c r="M110" s="692"/>
      <c r="N110" s="692"/>
      <c r="O110" s="693"/>
      <c r="P110" s="693"/>
      <c r="Q110" s="693"/>
      <c r="R110" s="693"/>
      <c r="S110" s="693"/>
      <c r="T110" s="693"/>
      <c r="U110" s="693"/>
      <c r="V110" s="693"/>
      <c r="W110" s="693"/>
      <c r="X110" s="693"/>
      <c r="Y110" s="693"/>
      <c r="Z110" s="693"/>
      <c r="AA110" s="693"/>
      <c r="AB110" s="693"/>
      <c r="AC110" s="692"/>
      <c r="AD110" s="692"/>
      <c r="AE110" s="692"/>
      <c r="AF110" s="692"/>
      <c r="AG110" s="692"/>
      <c r="AH110" s="692"/>
      <c r="AI110" s="692"/>
      <c r="AJ110" s="692"/>
      <c r="AK110" s="692"/>
      <c r="AL110" s="692"/>
      <c r="AM110" s="692"/>
      <c r="AN110" s="692"/>
      <c r="AO110" s="692"/>
      <c r="AP110" s="692"/>
      <c r="AQ110" s="692"/>
      <c r="AR110" s="692"/>
      <c r="AS110" s="692"/>
      <c r="AT110" s="692"/>
      <c r="AU110" s="692"/>
      <c r="AV110" s="692"/>
      <c r="AW110" s="692"/>
      <c r="AX110" s="692"/>
      <c r="AY110" s="692"/>
      <c r="AZ110" s="692"/>
      <c r="BA110" s="692"/>
      <c r="BB110" s="692"/>
      <c r="BC110" s="692"/>
      <c r="BD110" s="692"/>
      <c r="BE110" s="692"/>
      <c r="BF110" s="692"/>
      <c r="BG110" s="692"/>
      <c r="BH110" s="692"/>
      <c r="BI110" s="692"/>
      <c r="BJ110" s="692"/>
      <c r="BK110" s="692"/>
      <c r="BL110" s="692"/>
      <c r="BM110" s="692"/>
      <c r="BN110" s="692"/>
      <c r="BO110" s="692"/>
      <c r="BP110" s="692"/>
      <c r="BQ110" s="692"/>
      <c r="BR110" s="692"/>
      <c r="BS110" s="692"/>
      <c r="BT110" s="693"/>
      <c r="BU110" s="693"/>
      <c r="BV110" s="693"/>
      <c r="BW110" s="693"/>
      <c r="BX110" s="693"/>
      <c r="BY110" s="693"/>
      <c r="BZ110" s="693"/>
      <c r="CA110" s="693"/>
      <c r="CB110" s="693"/>
      <c r="CC110" s="693"/>
      <c r="CD110" s="693"/>
      <c r="CE110" s="693"/>
      <c r="CF110" s="693"/>
      <c r="CG110" s="693"/>
      <c r="CH110" s="693"/>
      <c r="CI110" s="693"/>
      <c r="CJ110" s="693"/>
      <c r="CK110" s="693"/>
      <c r="CL110" s="692"/>
      <c r="CM110" s="692"/>
      <c r="CN110" s="692"/>
      <c r="CO110" s="692"/>
      <c r="CP110" s="692"/>
      <c r="CQ110" s="692"/>
      <c r="CR110" s="692"/>
      <c r="CS110" s="692"/>
      <c r="CT110" s="692"/>
      <c r="CU110" s="692"/>
      <c r="CV110" s="692"/>
      <c r="CW110" s="692"/>
      <c r="CX110" s="692"/>
      <c r="CY110" s="693"/>
      <c r="CZ110" s="693"/>
      <c r="DA110" s="693"/>
      <c r="DB110" s="693"/>
      <c r="DC110" s="693"/>
      <c r="DD110" s="693"/>
      <c r="DE110" s="693"/>
      <c r="DF110" s="693"/>
      <c r="DG110" s="693"/>
      <c r="DH110" s="693"/>
      <c r="DI110" s="693"/>
      <c r="DJ110" s="693"/>
      <c r="DK110" s="692"/>
      <c r="DL110" s="692"/>
      <c r="DM110" s="692"/>
      <c r="DN110" s="692"/>
      <c r="DO110" s="692"/>
      <c r="DP110" s="692"/>
      <c r="DQ110" s="692"/>
      <c r="DR110" s="692"/>
      <c r="DS110" s="692"/>
      <c r="DT110" s="692"/>
      <c r="DU110" s="692"/>
      <c r="DV110" s="692"/>
      <c r="DW110" s="692"/>
      <c r="DX110" s="692"/>
      <c r="DY110" s="692"/>
      <c r="DZ110" s="692"/>
      <c r="EA110" s="692"/>
      <c r="EB110" s="692"/>
      <c r="EC110" s="692"/>
      <c r="ED110" s="692"/>
      <c r="EE110" s="692"/>
      <c r="EF110" s="692"/>
      <c r="EG110" s="692"/>
      <c r="EH110" s="692"/>
      <c r="EI110" s="692"/>
      <c r="EJ110" s="692"/>
      <c r="EK110" s="692"/>
      <c r="EL110" s="692"/>
      <c r="EM110" s="692"/>
      <c r="EN110" s="692"/>
      <c r="EO110" s="692"/>
      <c r="EP110" s="692"/>
      <c r="EQ110" s="692"/>
      <c r="ER110" s="692"/>
      <c r="ES110" s="692"/>
      <c r="ET110" s="692"/>
      <c r="EU110" s="692"/>
      <c r="EV110" s="692"/>
      <c r="EW110" s="692"/>
      <c r="EX110" s="692"/>
      <c r="EY110" s="692"/>
      <c r="EZ110" s="692"/>
      <c r="FA110" s="692"/>
      <c r="FB110" s="692"/>
      <c r="FC110" s="692"/>
      <c r="FD110" s="692"/>
      <c r="FE110" s="692"/>
      <c r="FF110" s="692"/>
      <c r="FG110" s="692"/>
      <c r="FH110" s="692"/>
      <c r="FI110" s="692"/>
      <c r="FJ110" s="692"/>
      <c r="FK110" s="692"/>
      <c r="FL110" s="692"/>
      <c r="FM110" s="692"/>
      <c r="FN110" s="692"/>
      <c r="FO110" s="692"/>
      <c r="FP110" s="692"/>
      <c r="FQ110" s="692"/>
      <c r="FR110" s="692"/>
      <c r="FS110" s="692"/>
      <c r="FT110" s="692"/>
      <c r="FU110" s="692"/>
      <c r="FV110" s="692"/>
      <c r="FW110" s="692"/>
      <c r="FX110" s="652"/>
    </row>
    <row r="111" spans="1:184" s="524" customFormat="1" ht="12" customHeight="1">
      <c r="B111" s="525"/>
      <c r="F111" s="694"/>
      <c r="G111" s="695" t="s">
        <v>1090</v>
      </c>
      <c r="H111" s="695"/>
      <c r="I111" s="695"/>
      <c r="J111" s="695"/>
      <c r="K111" s="695"/>
      <c r="L111" s="695"/>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5"/>
      <c r="AP111" s="695"/>
      <c r="AQ111" s="695"/>
      <c r="AR111" s="695"/>
      <c r="AS111" s="695"/>
      <c r="AT111" s="695"/>
      <c r="AU111" s="695"/>
      <c r="AV111" s="695"/>
      <c r="AW111" s="695"/>
      <c r="AX111" s="695"/>
      <c r="AY111" s="695"/>
      <c r="AZ111" s="695"/>
      <c r="BA111" s="695"/>
      <c r="BB111" s="695"/>
      <c r="BC111" s="695"/>
      <c r="BD111" s="695"/>
      <c r="BE111" s="695"/>
      <c r="BF111" s="695"/>
      <c r="BG111" s="695"/>
      <c r="BH111" s="695"/>
      <c r="BI111" s="695"/>
      <c r="BJ111" s="695"/>
      <c r="BK111" s="695"/>
      <c r="BL111" s="695"/>
      <c r="BM111" s="695"/>
      <c r="BN111" s="695"/>
      <c r="BO111" s="695"/>
      <c r="BP111" s="695"/>
      <c r="BQ111" s="695"/>
      <c r="BR111" s="695"/>
      <c r="BS111" s="695"/>
      <c r="BT111" s="695"/>
      <c r="BU111" s="695"/>
      <c r="BV111" s="695"/>
      <c r="BW111" s="695"/>
      <c r="BX111" s="695"/>
      <c r="BY111" s="695"/>
      <c r="BZ111" s="695"/>
      <c r="CA111" s="695"/>
      <c r="CB111" s="695"/>
      <c r="CC111" s="695"/>
      <c r="CD111" s="695"/>
      <c r="CE111" s="695"/>
      <c r="CF111" s="695"/>
      <c r="CG111" s="695"/>
      <c r="CH111" s="695"/>
      <c r="CI111" s="695"/>
      <c r="CJ111" s="695"/>
      <c r="CK111" s="695"/>
      <c r="CL111" s="695"/>
      <c r="CM111" s="695"/>
      <c r="CN111" s="695"/>
      <c r="CO111" s="695"/>
      <c r="CP111" s="695"/>
      <c r="CQ111" s="695"/>
      <c r="CR111" s="695"/>
      <c r="CS111" s="695"/>
      <c r="CT111" s="695"/>
      <c r="CU111" s="695"/>
      <c r="CV111" s="695"/>
      <c r="CW111" s="695"/>
      <c r="CX111" s="695"/>
      <c r="CY111" s="695"/>
      <c r="CZ111" s="695"/>
      <c r="DA111" s="695"/>
      <c r="DB111" s="695"/>
      <c r="DC111" s="695"/>
      <c r="DD111" s="695"/>
      <c r="DE111" s="695"/>
      <c r="DF111" s="695"/>
      <c r="DG111" s="695"/>
      <c r="DH111" s="695"/>
      <c r="DI111" s="695"/>
      <c r="DJ111" s="695"/>
      <c r="DK111" s="695"/>
      <c r="DL111" s="695"/>
      <c r="DM111" s="695"/>
      <c r="DN111" s="695"/>
      <c r="DO111" s="695"/>
      <c r="DP111" s="695"/>
      <c r="DQ111" s="695"/>
      <c r="DR111" s="695"/>
      <c r="DS111" s="695"/>
      <c r="DT111" s="695"/>
      <c r="DU111" s="695"/>
      <c r="DV111" s="695"/>
      <c r="DW111" s="695"/>
      <c r="DX111" s="695"/>
      <c r="DY111" s="695"/>
      <c r="DZ111" s="695"/>
      <c r="EA111" s="695"/>
      <c r="EB111" s="695"/>
      <c r="EC111" s="695"/>
      <c r="ED111" s="695"/>
      <c r="EE111" s="695"/>
      <c r="EF111" s="695"/>
      <c r="EG111" s="695"/>
      <c r="EH111" s="695"/>
      <c r="EI111" s="695"/>
      <c r="EJ111" s="695"/>
      <c r="EK111" s="695"/>
      <c r="EL111" s="695"/>
      <c r="EM111" s="695"/>
      <c r="EN111" s="695"/>
      <c r="EO111" s="695"/>
      <c r="EP111" s="695"/>
      <c r="EQ111" s="695"/>
      <c r="ER111" s="695"/>
      <c r="ES111" s="695"/>
      <c r="ET111" s="695"/>
      <c r="EU111" s="695"/>
      <c r="EV111" s="695"/>
      <c r="EW111" s="695"/>
      <c r="EX111" s="695"/>
      <c r="EY111" s="695"/>
      <c r="EZ111" s="695"/>
      <c r="FA111" s="695"/>
      <c r="FB111" s="695"/>
      <c r="FC111" s="695"/>
      <c r="FD111" s="695"/>
      <c r="FE111" s="695"/>
      <c r="FF111" s="695"/>
      <c r="FG111" s="695"/>
      <c r="FH111" s="695"/>
      <c r="FI111" s="695"/>
      <c r="FJ111" s="695"/>
      <c r="FK111" s="695"/>
      <c r="FL111" s="695"/>
      <c r="FM111" s="695"/>
      <c r="FN111" s="695"/>
      <c r="FO111" s="695"/>
      <c r="FP111" s="695"/>
      <c r="FQ111" s="695"/>
      <c r="FR111" s="695"/>
      <c r="FS111" s="695"/>
      <c r="FT111" s="695"/>
      <c r="FU111" s="695"/>
      <c r="FV111" s="695"/>
      <c r="FW111" s="696"/>
      <c r="FX111" s="35"/>
      <c r="FY111" s="58"/>
      <c r="FZ111" s="58"/>
      <c r="GA111" s="58"/>
      <c r="GB111" s="58"/>
    </row>
    <row r="113" spans="1:83" s="974" customFormat="1" ht="11.25" customHeight="1">
      <c r="A113" s="974" t="s">
        <v>1891</v>
      </c>
    </row>
    <row r="115" spans="1:83" ht="15" customHeight="1">
      <c r="A115" s="33"/>
      <c r="D115" s="1363" t="s">
        <v>105</v>
      </c>
      <c r="E115" s="1355" t="s">
        <v>101</v>
      </c>
      <c r="F115" s="1356"/>
      <c r="G115" s="1357"/>
      <c r="H115" s="1361" t="str">
        <f>IF(A115="","",INDEX(DIFFERENTIATION_UNMERGE_VD,MATCH(A115,DIFFERENTIATION_ID_DIFF,0)))</f>
        <v/>
      </c>
      <c r="I115" s="1361"/>
      <c r="J115" s="1361"/>
      <c r="K115" s="1361"/>
      <c r="L115" s="1361"/>
      <c r="M115" s="1361"/>
      <c r="N115" s="1361"/>
      <c r="O115" s="1361"/>
      <c r="P115" s="1361"/>
      <c r="Q115" s="1361"/>
      <c r="R115" s="1361"/>
      <c r="S115" s="407"/>
      <c r="T115" s="405"/>
      <c r="U115" s="102"/>
      <c r="V115" s="102"/>
      <c r="W115" s="62"/>
      <c r="X115" s="62"/>
      <c r="Y115" s="62"/>
      <c r="Z115" s="62"/>
      <c r="AA115" s="102"/>
      <c r="AB115" s="62"/>
      <c r="AC115" s="1353"/>
      <c r="AD115" s="62"/>
      <c r="AE115" s="350" t="s">
        <v>18</v>
      </c>
      <c r="AF115" s="350"/>
      <c r="AG115" s="351" t="s">
        <v>609</v>
      </c>
      <c r="AH115" s="352">
        <v>3</v>
      </c>
      <c r="AI115" s="102"/>
      <c r="AJ115" s="102"/>
      <c r="AK115" s="102"/>
      <c r="AL115" s="102"/>
      <c r="AM115" s="102"/>
      <c r="AN115" s="102"/>
      <c r="AO115" s="102"/>
      <c r="AP115" s="102"/>
      <c r="AQ115" s="102"/>
      <c r="AR115" s="102"/>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102"/>
      <c r="BQ115" s="102"/>
      <c r="BR115" s="102"/>
      <c r="BS115" s="102"/>
      <c r="BT115" s="102"/>
      <c r="BU115" s="102"/>
      <c r="BV115" s="62"/>
      <c r="BW115" s="62"/>
      <c r="BX115" s="62"/>
      <c r="BY115" s="62"/>
      <c r="BZ115" s="62"/>
      <c r="CA115" s="62"/>
      <c r="CB115" s="62"/>
      <c r="CC115" s="62"/>
      <c r="CD115" s="62"/>
      <c r="CE115" s="62"/>
    </row>
    <row r="116" spans="1:83" ht="15" customHeight="1">
      <c r="A116" s="33"/>
      <c r="D116" s="1364"/>
      <c r="E116" s="1355" t="s">
        <v>563</v>
      </c>
      <c r="F116" s="1356"/>
      <c r="G116" s="1357"/>
      <c r="H116" s="1361" t="str">
        <f>IF(A115="","",INDEX(DIFFERENTIATION_UNMERGE_AREA,MATCH(A115,DIFFERENTIATION_ID_DIFF,0)))</f>
        <v/>
      </c>
      <c r="I116" s="1361"/>
      <c r="J116" s="1361"/>
      <c r="K116" s="1361"/>
      <c r="L116" s="1361"/>
      <c r="M116" s="1361"/>
      <c r="N116" s="1361"/>
      <c r="O116" s="1361"/>
      <c r="P116" s="1361"/>
      <c r="Q116" s="1361"/>
      <c r="R116" s="1361"/>
      <c r="S116" s="407"/>
      <c r="T116" s="405"/>
      <c r="U116" s="102"/>
      <c r="V116" s="102"/>
      <c r="W116" s="62"/>
      <c r="X116" s="62"/>
      <c r="Y116" s="62"/>
      <c r="Z116" s="62"/>
      <c r="AA116" s="102"/>
      <c r="AB116" s="62"/>
      <c r="AC116" s="1353"/>
      <c r="AD116" s="62"/>
      <c r="AE116" s="350"/>
      <c r="AF116" s="350"/>
      <c r="AG116" s="351"/>
      <c r="AH116" s="352"/>
      <c r="AI116" s="102"/>
      <c r="AJ116" s="102"/>
      <c r="AK116" s="102"/>
      <c r="AL116" s="102"/>
      <c r="AM116" s="102"/>
      <c r="AN116" s="102"/>
      <c r="AO116" s="102"/>
      <c r="AP116" s="102"/>
      <c r="AQ116" s="102"/>
      <c r="AR116" s="102"/>
      <c r="AS116" s="102"/>
      <c r="AT116" s="102"/>
      <c r="AU116" s="102"/>
      <c r="AV116" s="102"/>
      <c r="AW116" s="102"/>
      <c r="AX116" s="102"/>
      <c r="AY116" s="102"/>
      <c r="AZ116" s="102"/>
      <c r="BA116" s="102"/>
      <c r="BB116" s="102"/>
      <c r="BC116" s="102"/>
      <c r="BD116" s="102"/>
      <c r="BE116" s="102"/>
      <c r="BF116" s="102"/>
      <c r="BG116" s="102"/>
      <c r="BH116" s="102"/>
      <c r="BI116" s="102"/>
      <c r="BJ116" s="102"/>
      <c r="BK116" s="102"/>
      <c r="BL116" s="102"/>
      <c r="BM116" s="102"/>
      <c r="BN116" s="102"/>
      <c r="BO116" s="102"/>
      <c r="BP116" s="102"/>
      <c r="BQ116" s="102"/>
      <c r="BR116" s="102"/>
      <c r="BS116" s="102"/>
      <c r="BT116" s="102"/>
      <c r="BU116" s="102"/>
      <c r="BV116" s="62"/>
      <c r="BW116" s="62"/>
      <c r="BX116" s="62"/>
      <c r="BY116" s="62"/>
      <c r="BZ116" s="62"/>
      <c r="CA116" s="62"/>
      <c r="CB116" s="62"/>
      <c r="CC116" s="62"/>
      <c r="CD116" s="62"/>
      <c r="CE116" s="62"/>
    </row>
    <row r="117" spans="1:83" ht="15" customHeight="1">
      <c r="A117" s="33"/>
      <c r="D117" s="1364"/>
      <c r="E117" s="1355" t="s">
        <v>564</v>
      </c>
      <c r="F117" s="1356"/>
      <c r="G117" s="1357"/>
      <c r="H117" s="1361" t="str">
        <f>IF(A115="","",INDEX(DIFFERENTIATION_UNMERGE_SYSTEM,MATCH(A115,DIFFERENTIATION_ID_DIFF,0)))</f>
        <v/>
      </c>
      <c r="I117" s="1361"/>
      <c r="J117" s="1361"/>
      <c r="K117" s="1361"/>
      <c r="L117" s="1361"/>
      <c r="M117" s="1361"/>
      <c r="N117" s="1361"/>
      <c r="O117" s="1361"/>
      <c r="P117" s="1361"/>
      <c r="Q117" s="1361"/>
      <c r="R117" s="1361"/>
      <c r="S117" s="407"/>
      <c r="T117" s="405"/>
      <c r="U117" s="102"/>
      <c r="V117" s="102"/>
      <c r="W117" s="62"/>
      <c r="X117" s="62"/>
      <c r="Y117" s="62"/>
      <c r="Z117" s="62"/>
      <c r="AA117" s="102"/>
      <c r="AB117" s="62"/>
      <c r="AC117" s="1353"/>
      <c r="AD117" s="62"/>
      <c r="AE117" s="350"/>
      <c r="AF117" s="350"/>
      <c r="AG117" s="351"/>
      <c r="AH117" s="352"/>
      <c r="AI117" s="102"/>
      <c r="AJ117" s="102"/>
      <c r="AK117" s="102"/>
      <c r="AL117" s="102"/>
      <c r="AM117" s="102"/>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102"/>
      <c r="BQ117" s="102"/>
      <c r="BR117" s="102"/>
      <c r="BS117" s="102"/>
      <c r="BT117" s="102"/>
      <c r="BU117" s="102"/>
      <c r="BV117" s="62"/>
      <c r="BW117" s="62"/>
      <c r="BX117" s="62"/>
      <c r="BY117" s="62"/>
      <c r="BZ117" s="62"/>
      <c r="CA117" s="62"/>
      <c r="CB117" s="62"/>
      <c r="CC117" s="62"/>
      <c r="CD117" s="62"/>
      <c r="CE117" s="62"/>
    </row>
    <row r="118" spans="1:83" ht="24.75" customHeight="1">
      <c r="A118" s="299"/>
      <c r="B118" s="63"/>
      <c r="C118" s="233"/>
      <c r="D118" s="1364"/>
      <c r="E118" s="1354" t="s">
        <v>610</v>
      </c>
      <c r="F118" s="1354"/>
      <c r="G118" s="1354"/>
      <c r="H118" s="1354"/>
      <c r="I118" s="1354"/>
      <c r="J118" s="1354"/>
      <c r="K118" s="1354"/>
      <c r="L118" s="1354"/>
      <c r="M118" s="1354"/>
      <c r="N118" s="1354"/>
      <c r="O118" s="1354"/>
      <c r="P118" s="1354"/>
      <c r="Q118" s="320">
        <f>SUMIF(T119:T120,"i",Q119:Q120)</f>
        <v>0</v>
      </c>
      <c r="R118" s="584"/>
      <c r="S118" s="151" t="s">
        <v>611</v>
      </c>
      <c r="T118" s="405" t="s">
        <v>612</v>
      </c>
      <c r="U118" s="1264">
        <v>1</v>
      </c>
      <c r="V118" s="1264" t="e">
        <f>INDEX(B_FHD_FLAG_INDEX_1,1,MATCH(A115,B_FHD_FLAG_DIFFERENTIATION,0))</f>
        <v>#N/A</v>
      </c>
      <c r="W118" s="63"/>
      <c r="X118" s="63"/>
      <c r="Y118" s="63"/>
      <c r="Z118" s="63"/>
      <c r="AA118" s="68"/>
      <c r="AB118" s="63"/>
      <c r="AC118" s="1353"/>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0"/>
      <c r="B119" s="68"/>
      <c r="C119" s="68"/>
      <c r="D119" s="1364"/>
      <c r="E119" s="353"/>
      <c r="F119" s="353">
        <v>0</v>
      </c>
      <c r="G119" s="353"/>
      <c r="H119" s="353"/>
      <c r="I119" s="353"/>
      <c r="J119" s="353"/>
      <c r="K119" s="353"/>
      <c r="L119" s="353"/>
      <c r="M119" s="353"/>
      <c r="N119" s="353"/>
      <c r="O119" s="353"/>
      <c r="P119" s="353"/>
      <c r="Q119" s="353"/>
      <c r="R119" s="353"/>
      <c r="S119" s="315"/>
      <c r="T119" s="406"/>
      <c r="U119" s="1264"/>
      <c r="V119" s="1264"/>
      <c r="W119" s="68"/>
      <c r="X119" s="68"/>
      <c r="Y119" s="68"/>
      <c r="Z119" s="68"/>
      <c r="AA119" s="68"/>
      <c r="AB119" s="63"/>
      <c r="AC119" s="1353"/>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299"/>
      <c r="B120" s="63"/>
      <c r="C120" s="233"/>
      <c r="D120" s="1364"/>
      <c r="E120" s="182" t="s">
        <v>18</v>
      </c>
      <c r="F120" s="108" t="s">
        <v>18</v>
      </c>
      <c r="G120" s="108" t="s">
        <v>615</v>
      </c>
      <c r="H120" s="53" t="s">
        <v>18</v>
      </c>
      <c r="I120" s="53"/>
      <c r="J120" s="53"/>
      <c r="K120" s="53"/>
      <c r="L120" s="53"/>
      <c r="M120" s="53"/>
      <c r="N120" s="53"/>
      <c r="O120" s="53"/>
      <c r="P120" s="53"/>
      <c r="Q120" s="53"/>
      <c r="R120" s="344"/>
      <c r="S120" s="362"/>
      <c r="T120" s="406"/>
      <c r="U120" s="1264"/>
      <c r="V120" s="1264"/>
      <c r="W120" s="63"/>
      <c r="X120" s="63"/>
      <c r="Y120" s="63"/>
      <c r="Z120" s="63"/>
      <c r="AA120" s="68"/>
      <c r="AB120" s="63"/>
      <c r="AC120" s="1353"/>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299"/>
      <c r="B121" s="63"/>
      <c r="C121" s="233"/>
      <c r="D121" s="1364"/>
      <c r="E121" s="1354" t="s">
        <v>613</v>
      </c>
      <c r="F121" s="1354"/>
      <c r="G121" s="1354"/>
      <c r="H121" s="1354"/>
      <c r="I121" s="1354"/>
      <c r="J121" s="1354"/>
      <c r="K121" s="1354"/>
      <c r="L121" s="1354"/>
      <c r="M121" s="1354"/>
      <c r="N121" s="1354"/>
      <c r="O121" s="1354"/>
      <c r="P121" s="1354"/>
      <c r="Q121" s="320">
        <f>SUMIF(T122:T123,"i",Q122:Q123)</f>
        <v>0</v>
      </c>
      <c r="R121" s="584"/>
      <c r="S121" s="151" t="s">
        <v>614</v>
      </c>
      <c r="T121" s="405" t="s">
        <v>612</v>
      </c>
      <c r="U121" s="1264">
        <v>1</v>
      </c>
      <c r="V121" s="1264" t="e">
        <f>INDEX(B_FHD_FLAG_INDEX_2,1,MATCH(A115,B_FHD_FLAG_DIFFERENTIATION,0))</f>
        <v>#N/A</v>
      </c>
      <c r="W121" s="63"/>
      <c r="X121" s="63"/>
      <c r="Y121" s="63"/>
      <c r="Z121" s="63"/>
      <c r="AA121" s="68"/>
      <c r="AB121" s="63"/>
      <c r="AC121" s="398"/>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0"/>
      <c r="B122" s="68"/>
      <c r="C122" s="68"/>
      <c r="D122" s="1364"/>
      <c r="E122" s="353"/>
      <c r="F122" s="353">
        <v>0</v>
      </c>
      <c r="G122" s="353"/>
      <c r="H122" s="353"/>
      <c r="I122" s="353"/>
      <c r="J122" s="353"/>
      <c r="K122" s="353"/>
      <c r="L122" s="353"/>
      <c r="M122" s="353"/>
      <c r="N122" s="353"/>
      <c r="O122" s="353"/>
      <c r="P122" s="353"/>
      <c r="Q122" s="353"/>
      <c r="R122" s="353"/>
      <c r="S122" s="315"/>
      <c r="T122" s="406"/>
      <c r="U122" s="1264"/>
      <c r="V122" s="1264"/>
      <c r="W122" s="68"/>
      <c r="X122" s="68"/>
      <c r="Y122" s="68"/>
      <c r="Z122" s="68"/>
      <c r="AA122" s="68"/>
      <c r="AB122" s="63"/>
      <c r="AC122" s="398"/>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299"/>
      <c r="B123" s="63"/>
      <c r="C123" s="233"/>
      <c r="D123" s="1365"/>
      <c r="E123" s="182" t="s">
        <v>18</v>
      </c>
      <c r="F123" s="108" t="s">
        <v>18</v>
      </c>
      <c r="G123" s="108" t="s">
        <v>615</v>
      </c>
      <c r="H123" s="53" t="s">
        <v>18</v>
      </c>
      <c r="I123" s="53"/>
      <c r="J123" s="53"/>
      <c r="K123" s="53"/>
      <c r="L123" s="53"/>
      <c r="M123" s="53"/>
      <c r="N123" s="53"/>
      <c r="O123" s="53"/>
      <c r="P123" s="53"/>
      <c r="Q123" s="53"/>
      <c r="R123" s="344"/>
      <c r="S123" s="362"/>
      <c r="T123" s="406"/>
      <c r="U123" s="1264"/>
      <c r="V123" s="1264"/>
      <c r="W123" s="63"/>
      <c r="X123" s="63"/>
      <c r="Y123" s="63"/>
      <c r="Z123" s="63"/>
      <c r="AA123" s="68"/>
      <c r="AB123" s="63"/>
      <c r="AC123" s="398"/>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74" customFormat="1" ht="11.25" customHeight="1">
      <c r="A125" s="974" t="s">
        <v>1892</v>
      </c>
    </row>
    <row r="127" spans="1:83" ht="15" hidden="1" customHeight="1">
      <c r="A127" s="33"/>
      <c r="D127" s="1363" t="s">
        <v>105</v>
      </c>
      <c r="E127" s="1355" t="s">
        <v>101</v>
      </c>
      <c r="F127" s="1356"/>
      <c r="G127" s="1357"/>
      <c r="H127" s="1361" t="str">
        <f>IF(A127="","",INDEX(DIFFERENTIATION_UNMERGE_VD,MATCH(A127,DIFFERENTIATION_ID_DIFF,0)))</f>
        <v/>
      </c>
      <c r="I127" s="1361"/>
      <c r="J127" s="1361"/>
      <c r="K127" s="1361"/>
      <c r="L127" s="1361"/>
      <c r="M127" s="1361"/>
      <c r="N127" s="1361"/>
      <c r="O127" s="1361"/>
      <c r="P127" s="1361"/>
      <c r="Q127" s="1361"/>
      <c r="R127" s="1361"/>
      <c r="S127" s="407"/>
      <c r="T127" s="405"/>
      <c r="U127" s="102"/>
      <c r="V127" s="102"/>
      <c r="W127" s="62"/>
      <c r="X127" s="62"/>
      <c r="Y127" s="62"/>
      <c r="Z127" s="62"/>
      <c r="AA127" s="102"/>
      <c r="AB127" s="62"/>
      <c r="AC127" s="1353"/>
      <c r="AD127" s="62"/>
      <c r="AE127" s="350" t="s">
        <v>18</v>
      </c>
      <c r="AF127" s="350"/>
      <c r="AG127" s="351" t="s">
        <v>609</v>
      </c>
      <c r="AH127" s="352">
        <v>3</v>
      </c>
      <c r="AI127" s="102"/>
      <c r="AJ127" s="102"/>
      <c r="AK127" s="102"/>
      <c r="AL127" s="102"/>
      <c r="AM127" s="102"/>
      <c r="AN127" s="102"/>
      <c r="AO127" s="102"/>
      <c r="AP127" s="102"/>
      <c r="AQ127" s="102"/>
      <c r="AR127" s="102"/>
      <c r="AS127" s="102"/>
      <c r="AT127" s="102"/>
      <c r="AU127" s="102"/>
      <c r="AV127" s="102"/>
      <c r="AW127" s="102"/>
      <c r="AX127" s="102"/>
      <c r="AY127" s="102"/>
      <c r="AZ127" s="102"/>
      <c r="BA127" s="102"/>
      <c r="BB127" s="102"/>
      <c r="BC127" s="102"/>
      <c r="BD127" s="102"/>
      <c r="BE127" s="102"/>
      <c r="BF127" s="102"/>
      <c r="BG127" s="102"/>
      <c r="BH127" s="102"/>
      <c r="BI127" s="102"/>
      <c r="BJ127" s="102"/>
      <c r="BK127" s="102"/>
      <c r="BL127" s="102"/>
      <c r="BM127" s="102"/>
      <c r="BN127" s="102"/>
      <c r="BO127" s="102"/>
      <c r="BP127" s="102"/>
      <c r="BQ127" s="102"/>
      <c r="BR127" s="102"/>
      <c r="BS127" s="102"/>
      <c r="BT127" s="102"/>
      <c r="BU127" s="102"/>
      <c r="BV127" s="62"/>
      <c r="BW127" s="62"/>
      <c r="BX127" s="62"/>
      <c r="BY127" s="62"/>
      <c r="BZ127" s="62"/>
      <c r="CA127" s="62"/>
      <c r="CB127" s="62"/>
      <c r="CC127" s="62"/>
      <c r="CD127" s="62"/>
      <c r="CE127" s="62"/>
    </row>
    <row r="128" spans="1:83" ht="15" hidden="1" customHeight="1">
      <c r="A128" s="33"/>
      <c r="D128" s="1364"/>
      <c r="E128" s="1355" t="s">
        <v>563</v>
      </c>
      <c r="F128" s="1356"/>
      <c r="G128" s="1357"/>
      <c r="H128" s="1361" t="str">
        <f>IF(A127="","",INDEX(DIFFERENTIATION_UNMERGE_AREA,MATCH(A127,DIFFERENTIATION_ID_DIFF,0)))</f>
        <v/>
      </c>
      <c r="I128" s="1361"/>
      <c r="J128" s="1361"/>
      <c r="K128" s="1361"/>
      <c r="L128" s="1361"/>
      <c r="M128" s="1361"/>
      <c r="N128" s="1361"/>
      <c r="O128" s="1361"/>
      <c r="P128" s="1361"/>
      <c r="Q128" s="1361"/>
      <c r="R128" s="1361"/>
      <c r="S128" s="407"/>
      <c r="T128" s="405"/>
      <c r="U128" s="102"/>
      <c r="V128" s="102"/>
      <c r="W128" s="62"/>
      <c r="X128" s="62"/>
      <c r="Y128" s="62"/>
      <c r="Z128" s="62"/>
      <c r="AA128" s="102"/>
      <c r="AB128" s="62"/>
      <c r="AC128" s="1353"/>
      <c r="AD128" s="62"/>
      <c r="AE128" s="350"/>
      <c r="AF128" s="350"/>
      <c r="AG128" s="351"/>
      <c r="AH128" s="352"/>
      <c r="AI128" s="102"/>
      <c r="AJ128" s="102"/>
      <c r="AK128" s="102"/>
      <c r="AL128" s="102"/>
      <c r="AM128" s="102"/>
      <c r="AN128" s="102"/>
      <c r="AO128" s="102"/>
      <c r="AP128" s="102"/>
      <c r="AQ128" s="102"/>
      <c r="AR128" s="102"/>
      <c r="AS128" s="102"/>
      <c r="AT128" s="102"/>
      <c r="AU128" s="102"/>
      <c r="AV128" s="102"/>
      <c r="AW128" s="102"/>
      <c r="AX128" s="102"/>
      <c r="AY128" s="102"/>
      <c r="AZ128" s="102"/>
      <c r="BA128" s="102"/>
      <c r="BB128" s="102"/>
      <c r="BC128" s="102"/>
      <c r="BD128" s="102"/>
      <c r="BE128" s="102"/>
      <c r="BF128" s="102"/>
      <c r="BG128" s="102"/>
      <c r="BH128" s="102"/>
      <c r="BI128" s="102"/>
      <c r="BJ128" s="102"/>
      <c r="BK128" s="102"/>
      <c r="BL128" s="102"/>
      <c r="BM128" s="102"/>
      <c r="BN128" s="102"/>
      <c r="BO128" s="102"/>
      <c r="BP128" s="102"/>
      <c r="BQ128" s="102"/>
      <c r="BR128" s="102"/>
      <c r="BS128" s="102"/>
      <c r="BT128" s="102"/>
      <c r="BU128" s="102"/>
      <c r="BV128" s="62"/>
      <c r="BW128" s="62"/>
      <c r="BX128" s="62"/>
      <c r="BY128" s="62"/>
      <c r="BZ128" s="62"/>
      <c r="CA128" s="62"/>
      <c r="CB128" s="62"/>
      <c r="CC128" s="62"/>
      <c r="CD128" s="62"/>
      <c r="CE128" s="62"/>
    </row>
    <row r="129" spans="1:83" ht="15" hidden="1" customHeight="1">
      <c r="A129" s="33"/>
      <c r="D129" s="1364"/>
      <c r="E129" s="1355" t="s">
        <v>564</v>
      </c>
      <c r="F129" s="1356"/>
      <c r="G129" s="1357"/>
      <c r="H129" s="1361" t="str">
        <f>IF(A127="","",INDEX(DIFFERENTIATION_UNMERGE_SYSTEM,MATCH(A127,DIFFERENTIATION_ID_DIFF,0)))</f>
        <v/>
      </c>
      <c r="I129" s="1361"/>
      <c r="J129" s="1361"/>
      <c r="K129" s="1361"/>
      <c r="L129" s="1361"/>
      <c r="M129" s="1361"/>
      <c r="N129" s="1361"/>
      <c r="O129" s="1361"/>
      <c r="P129" s="1361"/>
      <c r="Q129" s="1361"/>
      <c r="R129" s="1361"/>
      <c r="S129" s="407"/>
      <c r="T129" s="405"/>
      <c r="U129" s="102"/>
      <c r="V129" s="102"/>
      <c r="W129" s="62"/>
      <c r="X129" s="62"/>
      <c r="Y129" s="62"/>
      <c r="Z129" s="62"/>
      <c r="AA129" s="102"/>
      <c r="AB129" s="62"/>
      <c r="AC129" s="1353"/>
      <c r="AD129" s="62"/>
      <c r="AE129" s="350"/>
      <c r="AF129" s="350"/>
      <c r="AG129" s="351"/>
      <c r="AH129" s="352"/>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c r="BJ129" s="102"/>
      <c r="BK129" s="102"/>
      <c r="BL129" s="102"/>
      <c r="BM129" s="102"/>
      <c r="BN129" s="102"/>
      <c r="BO129" s="102"/>
      <c r="BP129" s="102"/>
      <c r="BQ129" s="102"/>
      <c r="BR129" s="102"/>
      <c r="BS129" s="102"/>
      <c r="BT129" s="102"/>
      <c r="BU129" s="102"/>
      <c r="BV129" s="62"/>
      <c r="BW129" s="62"/>
      <c r="BX129" s="62"/>
      <c r="BY129" s="62"/>
      <c r="BZ129" s="62"/>
      <c r="CA129" s="62"/>
      <c r="CB129" s="62"/>
      <c r="CC129" s="62"/>
      <c r="CD129" s="62"/>
      <c r="CE129" s="62"/>
    </row>
    <row r="130" spans="1:83" ht="24.75" hidden="1" customHeight="1">
      <c r="A130" s="299"/>
      <c r="B130" s="63"/>
      <c r="C130" s="233"/>
      <c r="D130" s="1364"/>
      <c r="E130" s="1354" t="s">
        <v>610</v>
      </c>
      <c r="F130" s="1354"/>
      <c r="G130" s="1354"/>
      <c r="H130" s="1354"/>
      <c r="I130" s="1354"/>
      <c r="J130" s="1354"/>
      <c r="K130" s="1354"/>
      <c r="L130" s="1354"/>
      <c r="M130" s="1354"/>
      <c r="N130" s="1354"/>
      <c r="O130" s="1354"/>
      <c r="P130" s="1354"/>
      <c r="Q130" s="320">
        <f>SUMIF(T131:T132,"i",Q131:Q132)</f>
        <v>0</v>
      </c>
      <c r="R130" s="584"/>
      <c r="S130" s="151" t="s">
        <v>611</v>
      </c>
      <c r="T130" s="405" t="s">
        <v>612</v>
      </c>
      <c r="U130" s="1264">
        <v>1</v>
      </c>
      <c r="V130" s="1264" t="e">
        <f>INDEX(B_FHD_FLAG_INDEX_1,1,MATCH(A127,B_FHD_FLAG_DIFFERENTIATION,0))</f>
        <v>#N/A</v>
      </c>
      <c r="W130" s="63"/>
      <c r="X130" s="63"/>
      <c r="Y130" s="63"/>
      <c r="Z130" s="63"/>
      <c r="AA130" s="68"/>
      <c r="AB130" s="63"/>
      <c r="AC130" s="1353"/>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0"/>
      <c r="B131" s="68"/>
      <c r="C131" s="68"/>
      <c r="D131" s="1364"/>
      <c r="E131" s="353"/>
      <c r="F131" s="353">
        <v>0</v>
      </c>
      <c r="G131" s="353"/>
      <c r="H131" s="353"/>
      <c r="I131" s="353"/>
      <c r="J131" s="353"/>
      <c r="K131" s="353"/>
      <c r="L131" s="353"/>
      <c r="M131" s="353"/>
      <c r="N131" s="353"/>
      <c r="O131" s="353"/>
      <c r="P131" s="353"/>
      <c r="Q131" s="353"/>
      <c r="R131" s="353"/>
      <c r="S131" s="315"/>
      <c r="T131" s="406"/>
      <c r="U131" s="1264"/>
      <c r="V131" s="1264"/>
      <c r="W131" s="68"/>
      <c r="X131" s="68"/>
      <c r="Y131" s="68"/>
      <c r="Z131" s="68"/>
      <c r="AA131" s="68"/>
      <c r="AB131" s="63"/>
      <c r="AC131" s="1353"/>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hidden="1" customHeight="1">
      <c r="A132" s="299"/>
      <c r="B132" s="63"/>
      <c r="C132" s="233"/>
      <c r="D132" s="1364"/>
      <c r="E132" s="182" t="s">
        <v>18</v>
      </c>
      <c r="F132" s="108" t="s">
        <v>18</v>
      </c>
      <c r="G132" s="108" t="s">
        <v>615</v>
      </c>
      <c r="H132" s="53" t="s">
        <v>18</v>
      </c>
      <c r="I132" s="53"/>
      <c r="J132" s="53"/>
      <c r="K132" s="53"/>
      <c r="L132" s="53"/>
      <c r="M132" s="53"/>
      <c r="N132" s="53"/>
      <c r="O132" s="53"/>
      <c r="P132" s="53"/>
      <c r="Q132" s="53"/>
      <c r="R132" s="344"/>
      <c r="S132" s="362"/>
      <c r="T132" s="406"/>
      <c r="U132" s="1264"/>
      <c r="V132" s="1264"/>
      <c r="W132" s="63"/>
      <c r="X132" s="63"/>
      <c r="Y132" s="63"/>
      <c r="Z132" s="63"/>
      <c r="AA132" s="68"/>
      <c r="AB132" s="63"/>
      <c r="AC132" s="1353"/>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2" customFormat="1" ht="5.25" hidden="1" customHeight="1">
      <c r="A133" s="120"/>
      <c r="B133" s="68"/>
      <c r="C133" s="68"/>
      <c r="D133" s="1364"/>
      <c r="E133" s="599"/>
      <c r="F133" s="599"/>
      <c r="G133" s="599"/>
      <c r="H133" s="599"/>
      <c r="I133" s="599"/>
      <c r="J133" s="599"/>
      <c r="K133" s="599"/>
      <c r="L133" s="599"/>
      <c r="M133" s="599"/>
      <c r="N133" s="599"/>
      <c r="O133" s="599"/>
      <c r="P133" s="599"/>
      <c r="Q133" s="600"/>
      <c r="R133" s="601"/>
      <c r="S133" s="353"/>
      <c r="T133" s="405" t="s">
        <v>612</v>
      </c>
      <c r="U133" s="1264">
        <v>1</v>
      </c>
      <c r="V133" s="1264" t="s">
        <v>574</v>
      </c>
      <c r="W133" s="68"/>
      <c r="X133" s="68"/>
      <c r="Y133" s="68"/>
      <c r="Z133" s="68"/>
      <c r="AA133" s="68"/>
      <c r="AB133" s="68"/>
      <c r="AC133" s="59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2" customFormat="1" ht="5.25" hidden="1" customHeight="1">
      <c r="A134" s="120"/>
      <c r="B134" s="68"/>
      <c r="C134" s="68"/>
      <c r="D134" s="1364"/>
      <c r="E134" s="353"/>
      <c r="F134" s="353"/>
      <c r="G134" s="353"/>
      <c r="H134" s="353"/>
      <c r="I134" s="353"/>
      <c r="J134" s="353"/>
      <c r="K134" s="353"/>
      <c r="L134" s="353"/>
      <c r="M134" s="353"/>
      <c r="N134" s="353"/>
      <c r="O134" s="353"/>
      <c r="P134" s="353"/>
      <c r="Q134" s="353"/>
      <c r="R134" s="353"/>
      <c r="S134" s="315"/>
      <c r="T134" s="406"/>
      <c r="U134" s="1264"/>
      <c r="V134" s="1264"/>
      <c r="W134" s="68"/>
      <c r="X134" s="68"/>
      <c r="Y134" s="68"/>
      <c r="Z134" s="68"/>
      <c r="AA134" s="68"/>
      <c r="AB134" s="68"/>
      <c r="AC134" s="59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2" customFormat="1" ht="5.25" hidden="1" customHeight="1">
      <c r="A135" s="120"/>
      <c r="B135" s="68"/>
      <c r="C135" s="68"/>
      <c r="D135" s="1365"/>
      <c r="E135" s="602"/>
      <c r="F135" s="603"/>
      <c r="G135" s="603"/>
      <c r="H135" s="604"/>
      <c r="I135" s="604"/>
      <c r="J135" s="604"/>
      <c r="K135" s="604"/>
      <c r="L135" s="604"/>
      <c r="M135" s="604"/>
      <c r="N135" s="604"/>
      <c r="O135" s="604"/>
      <c r="P135" s="604"/>
      <c r="Q135" s="604"/>
      <c r="R135" s="535"/>
      <c r="S135" s="605"/>
      <c r="T135" s="406"/>
      <c r="U135" s="1264"/>
      <c r="V135" s="1264"/>
      <c r="W135" s="68"/>
      <c r="X135" s="68"/>
      <c r="Y135" s="68"/>
      <c r="Z135" s="68"/>
      <c r="AA135" s="68"/>
      <c r="AB135" s="68"/>
      <c r="AC135" s="59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85"/>
    </row>
    <row r="137" spans="1:83" s="974" customFormat="1" ht="11.25" customHeight="1">
      <c r="A137" s="974" t="s">
        <v>1893</v>
      </c>
    </row>
    <row r="139" spans="1:83" ht="45" customHeight="1">
      <c r="A139" s="299"/>
      <c r="B139" s="63"/>
      <c r="C139" s="233"/>
      <c r="E139" s="1522"/>
      <c r="F139" s="1128" t="s">
        <v>105</v>
      </c>
      <c r="G139" s="1525" t="s">
        <v>18</v>
      </c>
      <c r="H139" s="67"/>
      <c r="I139" s="354" t="s">
        <v>105</v>
      </c>
      <c r="J139" s="121" t="s">
        <v>1894</v>
      </c>
      <c r="K139" s="146" t="s">
        <v>545</v>
      </c>
      <c r="L139" s="1238" t="s">
        <v>545</v>
      </c>
      <c r="M139" s="1173"/>
      <c r="N139" s="146" t="s">
        <v>545</v>
      </c>
      <c r="O139" s="146" t="s">
        <v>545</v>
      </c>
      <c r="P139" s="146" t="s">
        <v>545</v>
      </c>
      <c r="Q139" s="355">
        <f>SUM(Q140:Q142)</f>
        <v>0</v>
      </c>
      <c r="R139" s="355">
        <f>IF(R136=0,0,(Q136/R136)*100)</f>
        <v>0</v>
      </c>
      <c r="S139" s="1197"/>
      <c r="T139" s="405" t="s">
        <v>612</v>
      </c>
    </row>
    <row r="140" spans="1:83" ht="11.25" customHeight="1">
      <c r="A140" s="299"/>
      <c r="B140" s="63"/>
      <c r="C140" s="233"/>
      <c r="E140" s="1523"/>
      <c r="F140" s="1128"/>
      <c r="G140" s="1525"/>
      <c r="H140" s="1146"/>
      <c r="I140" s="1410" t="s">
        <v>995</v>
      </c>
      <c r="J140" s="1520"/>
      <c r="K140" s="1521"/>
      <c r="L140" s="103"/>
      <c r="M140" s="356" t="s">
        <v>105</v>
      </c>
      <c r="N140" s="246"/>
      <c r="O140" s="357"/>
      <c r="P140" s="358"/>
      <c r="Q140" s="357"/>
      <c r="R140" s="359">
        <v>0</v>
      </c>
      <c r="S140" s="1197"/>
      <c r="T140" s="405"/>
    </row>
    <row r="141" spans="1:83" ht="11.25" customHeight="1">
      <c r="A141" s="299"/>
      <c r="B141" s="63"/>
      <c r="C141" s="233"/>
      <c r="E141" s="1523"/>
      <c r="F141" s="1128"/>
      <c r="G141" s="1525"/>
      <c r="H141" s="1146"/>
      <c r="I141" s="1410"/>
      <c r="J141" s="1520"/>
      <c r="K141" s="1496"/>
      <c r="L141" s="360"/>
      <c r="M141" s="361"/>
      <c r="N141" s="53" t="s">
        <v>1895</v>
      </c>
      <c r="O141" s="53"/>
      <c r="P141" s="53"/>
      <c r="Q141" s="53"/>
      <c r="R141" s="344"/>
      <c r="S141" s="1197"/>
      <c r="T141" s="405"/>
    </row>
    <row r="142" spans="1:83" ht="11.25" customHeight="1">
      <c r="A142" s="299"/>
      <c r="B142" s="63"/>
      <c r="C142" s="233"/>
      <c r="E142" s="1524"/>
      <c r="F142" s="1128"/>
      <c r="G142" s="1526"/>
      <c r="H142" s="360" t="s">
        <v>18</v>
      </c>
      <c r="I142" s="361"/>
      <c r="J142" s="53" t="s">
        <v>1896</v>
      </c>
      <c r="K142" s="53"/>
      <c r="L142" s="53"/>
      <c r="M142" s="53"/>
      <c r="N142" s="53"/>
      <c r="O142" s="53"/>
      <c r="P142" s="53"/>
      <c r="Q142" s="53"/>
      <c r="R142" s="344"/>
      <c r="S142" s="1197"/>
      <c r="T142" s="405"/>
    </row>
    <row r="147" spans="1:43" ht="11.25" customHeight="1">
      <c r="A147" s="299"/>
      <c r="B147" s="63"/>
      <c r="C147" s="233"/>
      <c r="E147" s="980"/>
      <c r="F147" s="980"/>
      <c r="G147" s="980"/>
      <c r="H147" s="1146"/>
      <c r="I147" s="1410" t="s">
        <v>995</v>
      </c>
      <c r="J147" s="1520"/>
      <c r="K147" s="1521"/>
      <c r="L147" s="103"/>
      <c r="M147" s="356" t="s">
        <v>105</v>
      </c>
      <c r="N147" s="246"/>
      <c r="O147" s="357"/>
      <c r="P147" s="358"/>
      <c r="Q147" s="357"/>
      <c r="R147" s="359">
        <v>0</v>
      </c>
      <c r="T147" s="405"/>
    </row>
    <row r="148" spans="1:43" ht="11.25" customHeight="1">
      <c r="A148" s="299"/>
      <c r="B148" s="63"/>
      <c r="C148" s="233"/>
      <c r="E148" s="980"/>
      <c r="F148" s="980"/>
      <c r="G148" s="980"/>
      <c r="H148" s="1146"/>
      <c r="I148" s="1410"/>
      <c r="J148" s="1520"/>
      <c r="K148" s="1496"/>
      <c r="L148" s="360"/>
      <c r="M148" s="361"/>
      <c r="N148" s="53" t="s">
        <v>1895</v>
      </c>
      <c r="O148" s="53"/>
      <c r="P148" s="53"/>
      <c r="Q148" s="53"/>
      <c r="R148" s="344"/>
      <c r="T148" s="405"/>
    </row>
    <row r="150" spans="1:43" ht="11.25" customHeight="1">
      <c r="A150" s="299"/>
      <c r="B150" s="63"/>
      <c r="C150" s="233"/>
      <c r="E150" s="986"/>
      <c r="H150" s="208"/>
      <c r="I150" s="980"/>
      <c r="J150" s="981"/>
      <c r="K150" s="981"/>
      <c r="L150" s="103"/>
      <c r="M150" s="356" t="s">
        <v>105</v>
      </c>
      <c r="N150" s="246"/>
      <c r="O150" s="357"/>
      <c r="P150" s="358"/>
      <c r="Q150" s="357"/>
      <c r="R150" s="359">
        <v>0</v>
      </c>
      <c r="T150" s="405"/>
    </row>
    <row r="152" spans="1:43" s="974" customFormat="1" ht="17.25" customHeight="1">
      <c r="A152" s="974" t="s">
        <v>1897</v>
      </c>
    </row>
    <row r="153" spans="1:43" ht="17.25" customHeight="1">
      <c r="G153" s="987"/>
      <c r="H153" s="987"/>
      <c r="I153" s="987"/>
    </row>
    <row r="154" spans="1:43" s="36" customFormat="1" ht="17.25" customHeight="1">
      <c r="A154" s="186"/>
      <c r="C154" s="76"/>
      <c r="D154" s="1510"/>
      <c r="E154" s="1161"/>
      <c r="F154" s="1163"/>
      <c r="G154" s="1511"/>
      <c r="H154" s="1510"/>
      <c r="I154" s="1510">
        <v>1</v>
      </c>
      <c r="J154" s="1495"/>
      <c r="K154" s="1203" t="s">
        <v>62</v>
      </c>
      <c r="L154" s="1128"/>
      <c r="M154" s="1128" t="s">
        <v>105</v>
      </c>
      <c r="N154" s="1497" t="str">
        <f>IF(Z154="","",INDEX(TERRITORY_MR_LIST,MATCH(Z154,TERRITORY_LIST_ID,0)))</f>
        <v/>
      </c>
      <c r="O154" s="1203" t="s">
        <v>62</v>
      </c>
      <c r="P154" s="1128"/>
      <c r="Q154" s="1128" t="s">
        <v>105</v>
      </c>
      <c r="R154" s="1496" t="s">
        <v>18</v>
      </c>
      <c r="S154" s="1127" t="s">
        <v>62</v>
      </c>
      <c r="T154" s="44"/>
      <c r="U154" s="44" t="s">
        <v>105</v>
      </c>
      <c r="V154" s="246" t="s">
        <v>18</v>
      </c>
      <c r="W154" s="38"/>
      <c r="Y154" s="721"/>
      <c r="Z154" s="721"/>
      <c r="AA154" s="721"/>
      <c r="AB154" s="721"/>
      <c r="AC154" s="721"/>
      <c r="AD154" s="721"/>
      <c r="AE154" s="721"/>
      <c r="AF154" s="721"/>
      <c r="AG154" s="721"/>
      <c r="AH154" s="721"/>
      <c r="AI154" s="721"/>
      <c r="AJ154" s="721"/>
      <c r="AK154" s="721"/>
      <c r="AL154" s="142"/>
      <c r="AM154" s="142"/>
      <c r="AN154" s="721"/>
      <c r="AO154" s="721"/>
      <c r="AP154" s="721"/>
      <c r="AQ154" s="721"/>
    </row>
    <row r="155" spans="1:43" s="36" customFormat="1" ht="17.25" customHeight="1">
      <c r="A155" s="186"/>
      <c r="D155" s="1510"/>
      <c r="E155" s="1161"/>
      <c r="F155" s="1164"/>
      <c r="G155" s="1511"/>
      <c r="H155" s="1510"/>
      <c r="I155" s="1510"/>
      <c r="J155" s="1495"/>
      <c r="K155" s="1204"/>
      <c r="L155" s="1128"/>
      <c r="M155" s="1128"/>
      <c r="N155" s="1497"/>
      <c r="O155" s="1204"/>
      <c r="P155" s="1128"/>
      <c r="Q155" s="1128"/>
      <c r="R155" s="1496"/>
      <c r="S155" s="1127"/>
      <c r="T155" s="183"/>
      <c r="U155" s="184"/>
      <c r="V155" s="184" t="s">
        <v>413</v>
      </c>
      <c r="W155" s="185"/>
      <c r="Y155" s="18"/>
      <c r="Z155" s="18"/>
      <c r="AA155" s="18"/>
      <c r="AB155" s="18"/>
      <c r="AC155" s="18"/>
      <c r="AD155" s="18"/>
      <c r="AE155" s="18"/>
      <c r="AF155" s="18"/>
      <c r="AG155" s="18"/>
      <c r="AH155" s="18"/>
      <c r="AI155" s="18"/>
      <c r="AJ155" s="18"/>
      <c r="AK155" s="18"/>
    </row>
    <row r="156" spans="1:43" s="36" customFormat="1" ht="17.25" customHeight="1">
      <c r="A156" s="186"/>
      <c r="D156" s="1125"/>
      <c r="E156" s="1162"/>
      <c r="F156" s="1164"/>
      <c r="G156" s="1512"/>
      <c r="H156" s="1125"/>
      <c r="I156" s="1125"/>
      <c r="J156" s="1513"/>
      <c r="K156" s="1204"/>
      <c r="L156" s="1125"/>
      <c r="M156" s="1125"/>
      <c r="N156" s="1498"/>
      <c r="O156" s="1132"/>
      <c r="P156" s="183"/>
      <c r="Q156" s="184"/>
      <c r="R156" s="184" t="s">
        <v>414</v>
      </c>
      <c r="S156" s="988"/>
      <c r="T156" s="988"/>
      <c r="U156" s="988"/>
      <c r="V156" s="988"/>
      <c r="W156" s="185"/>
      <c r="Y156" s="18"/>
      <c r="Z156" s="18"/>
      <c r="AA156" s="18"/>
      <c r="AB156" s="18"/>
      <c r="AC156" s="18"/>
      <c r="AD156" s="18"/>
      <c r="AE156" s="18"/>
      <c r="AF156" s="18"/>
      <c r="AG156" s="18"/>
      <c r="AH156" s="18"/>
      <c r="AI156" s="18"/>
      <c r="AJ156" s="18"/>
      <c r="AK156" s="18"/>
    </row>
    <row r="157" spans="1:43" s="36" customFormat="1" ht="17.25" customHeight="1">
      <c r="A157" s="186"/>
      <c r="D157" s="1125"/>
      <c r="E157" s="1162"/>
      <c r="F157" s="1164"/>
      <c r="G157" s="1512"/>
      <c r="H157" s="1125"/>
      <c r="I157" s="1125"/>
      <c r="J157" s="1513"/>
      <c r="K157" s="1132"/>
      <c r="L157" s="183"/>
      <c r="M157" s="184"/>
      <c r="N157" s="184" t="s">
        <v>415</v>
      </c>
      <c r="O157" s="184"/>
      <c r="P157" s="184"/>
      <c r="Q157" s="184"/>
      <c r="R157" s="184"/>
      <c r="S157" s="988"/>
      <c r="T157" s="988"/>
      <c r="U157" s="988"/>
      <c r="V157" s="988"/>
      <c r="W157" s="185"/>
      <c r="Y157" s="18"/>
      <c r="Z157" s="18"/>
      <c r="AA157" s="18"/>
      <c r="AB157" s="18"/>
      <c r="AC157" s="18"/>
      <c r="AD157" s="18"/>
      <c r="AE157" s="18"/>
      <c r="AF157" s="18"/>
      <c r="AG157" s="18"/>
      <c r="AH157" s="18"/>
      <c r="AI157" s="18"/>
      <c r="AJ157" s="18"/>
      <c r="AK157" s="18"/>
    </row>
    <row r="158" spans="1:43" s="36" customFormat="1" ht="17.25" customHeight="1">
      <c r="A158" s="186"/>
      <c r="D158" s="1125"/>
      <c r="E158" s="1162"/>
      <c r="F158" s="1165"/>
      <c r="G158" s="1512"/>
      <c r="H158" s="183"/>
      <c r="I158" s="184"/>
      <c r="J158" s="184" t="s">
        <v>447</v>
      </c>
      <c r="K158" s="184"/>
      <c r="L158" s="184"/>
      <c r="M158" s="184"/>
      <c r="N158" s="184"/>
      <c r="O158" s="184"/>
      <c r="P158" s="184"/>
      <c r="Q158" s="184"/>
      <c r="R158" s="184"/>
      <c r="S158" s="988"/>
      <c r="T158" s="988"/>
      <c r="U158" s="988"/>
      <c r="V158" s="988"/>
      <c r="W158" s="185"/>
      <c r="Y158" s="18"/>
      <c r="Z158" s="18"/>
      <c r="AA158" s="18"/>
      <c r="AB158" s="18"/>
      <c r="AC158" s="18"/>
      <c r="AD158" s="18"/>
      <c r="AE158" s="18"/>
      <c r="AF158" s="18"/>
      <c r="AG158" s="18"/>
      <c r="AH158" s="18"/>
      <c r="AI158" s="18"/>
      <c r="AJ158" s="18"/>
      <c r="AK158" s="18"/>
    </row>
    <row r="159" spans="1:43" ht="17.25" customHeight="1">
      <c r="G159" s="987"/>
      <c r="H159" s="987"/>
      <c r="I159" s="987"/>
    </row>
    <row r="160" spans="1:43" s="36" customFormat="1" ht="17.25" customHeight="1">
      <c r="A160" s="186"/>
      <c r="C160" s="76"/>
      <c r="D160" s="980"/>
      <c r="E160" s="989"/>
      <c r="F160" s="967"/>
      <c r="G160" s="990"/>
      <c r="H160" s="1510"/>
      <c r="I160" s="1510">
        <v>1</v>
      </c>
      <c r="J160" s="1495"/>
      <c r="K160" s="1203" t="s">
        <v>62</v>
      </c>
      <c r="L160" s="1128"/>
      <c r="M160" s="1128" t="s">
        <v>105</v>
      </c>
      <c r="N160" s="1497" t="str">
        <f>IF(Z160="","",INDEX(TERRITORY_MR_LIST,MATCH(Z160,TERRITORY_LIST_ID,0)))</f>
        <v/>
      </c>
      <c r="O160" s="1203" t="s">
        <v>62</v>
      </c>
      <c r="P160" s="1128"/>
      <c r="Q160" s="1128" t="s">
        <v>105</v>
      </c>
      <c r="R160" s="1496" t="s">
        <v>18</v>
      </c>
      <c r="S160" s="1127" t="s">
        <v>62</v>
      </c>
      <c r="T160" s="44"/>
      <c r="U160" s="44" t="s">
        <v>105</v>
      </c>
      <c r="V160" s="246" t="s">
        <v>18</v>
      </c>
      <c r="W160" s="38"/>
      <c r="Y160" s="721"/>
      <c r="Z160" s="721"/>
      <c r="AA160" s="721"/>
      <c r="AB160" s="721"/>
      <c r="AC160" s="721"/>
      <c r="AD160" s="721"/>
      <c r="AE160" s="721"/>
      <c r="AF160" s="721"/>
      <c r="AG160" s="721"/>
      <c r="AH160" s="721"/>
      <c r="AI160" s="721"/>
      <c r="AJ160" s="721"/>
      <c r="AK160" s="721"/>
      <c r="AL160" s="142"/>
      <c r="AM160" s="142"/>
      <c r="AN160" s="721"/>
      <c r="AO160" s="721"/>
      <c r="AP160" s="721"/>
      <c r="AQ160" s="721"/>
    </row>
    <row r="161" spans="1:43" s="36" customFormat="1" ht="17.25" customHeight="1">
      <c r="A161" s="186"/>
      <c r="D161" s="980"/>
      <c r="E161" s="989"/>
      <c r="F161" s="967"/>
      <c r="G161" s="990"/>
      <c r="H161" s="1510"/>
      <c r="I161" s="1510"/>
      <c r="J161" s="1495"/>
      <c r="K161" s="1204"/>
      <c r="L161" s="1128"/>
      <c r="M161" s="1128"/>
      <c r="N161" s="1497"/>
      <c r="O161" s="1204"/>
      <c r="P161" s="1128"/>
      <c r="Q161" s="1128"/>
      <c r="R161" s="1496"/>
      <c r="S161" s="1127"/>
      <c r="T161" s="183"/>
      <c r="U161" s="184"/>
      <c r="V161" s="184" t="s">
        <v>413</v>
      </c>
      <c r="W161" s="185"/>
      <c r="Y161" s="18"/>
      <c r="Z161" s="18"/>
      <c r="AA161" s="18"/>
      <c r="AB161" s="18"/>
      <c r="AC161" s="18"/>
      <c r="AD161" s="18"/>
      <c r="AE161" s="18"/>
      <c r="AF161" s="18"/>
      <c r="AG161" s="18"/>
      <c r="AH161" s="18"/>
      <c r="AI161" s="18"/>
      <c r="AJ161" s="18"/>
      <c r="AK161" s="18"/>
    </row>
    <row r="162" spans="1:43" s="36" customFormat="1" ht="17.25" customHeight="1">
      <c r="A162" s="186"/>
      <c r="D162" s="980"/>
      <c r="E162" s="989"/>
      <c r="F162" s="967"/>
      <c r="G162" s="990"/>
      <c r="H162" s="1125"/>
      <c r="I162" s="1125"/>
      <c r="J162" s="1513"/>
      <c r="K162" s="1204"/>
      <c r="L162" s="1125"/>
      <c r="M162" s="1125"/>
      <c r="N162" s="1498"/>
      <c r="O162" s="1132"/>
      <c r="P162" s="183"/>
      <c r="Q162" s="184"/>
      <c r="R162" s="184" t="s">
        <v>414</v>
      </c>
      <c r="S162" s="988"/>
      <c r="T162" s="988"/>
      <c r="U162" s="988"/>
      <c r="V162" s="988"/>
      <c r="W162" s="185"/>
      <c r="Y162" s="18"/>
      <c r="Z162" s="18"/>
      <c r="AA162" s="18"/>
      <c r="AB162" s="18"/>
      <c r="AC162" s="18"/>
      <c r="AD162" s="18"/>
      <c r="AE162" s="18"/>
      <c r="AF162" s="18"/>
      <c r="AG162" s="18"/>
      <c r="AH162" s="18"/>
      <c r="AI162" s="18"/>
      <c r="AJ162" s="18"/>
      <c r="AK162" s="18"/>
    </row>
    <row r="163" spans="1:43" s="36" customFormat="1" ht="17.25" customHeight="1">
      <c r="A163" s="186"/>
      <c r="D163" s="980"/>
      <c r="E163" s="989"/>
      <c r="F163" s="967"/>
      <c r="G163" s="990"/>
      <c r="H163" s="1125"/>
      <c r="I163" s="1125"/>
      <c r="J163" s="1513"/>
      <c r="K163" s="1132"/>
      <c r="L163" s="183"/>
      <c r="M163" s="184"/>
      <c r="N163" s="184" t="s">
        <v>415</v>
      </c>
      <c r="O163" s="184"/>
      <c r="P163" s="184"/>
      <c r="Q163" s="184"/>
      <c r="R163" s="184"/>
      <c r="S163" s="988"/>
      <c r="T163" s="988"/>
      <c r="U163" s="988"/>
      <c r="V163" s="988"/>
      <c r="W163" s="185"/>
      <c r="Y163" s="18"/>
      <c r="Z163" s="18"/>
      <c r="AA163" s="18"/>
      <c r="AB163" s="18"/>
      <c r="AC163" s="18"/>
      <c r="AD163" s="18"/>
      <c r="AE163" s="18"/>
      <c r="AF163" s="18"/>
      <c r="AG163" s="18"/>
      <c r="AH163" s="18"/>
      <c r="AI163" s="18"/>
      <c r="AJ163" s="18"/>
      <c r="AK163" s="18"/>
    </row>
    <row r="164" spans="1:43" ht="17.25" customHeight="1">
      <c r="G164" s="987"/>
      <c r="H164" s="987"/>
      <c r="I164" s="987"/>
    </row>
    <row r="165" spans="1:43" s="36" customFormat="1" ht="17.25" customHeight="1">
      <c r="A165" s="186"/>
      <c r="C165" s="76"/>
      <c r="D165" s="980"/>
      <c r="E165" s="989"/>
      <c r="F165" s="967"/>
      <c r="G165" s="990"/>
      <c r="H165" s="980"/>
      <c r="I165" s="980"/>
      <c r="J165" s="991"/>
      <c r="K165" s="958"/>
      <c r="L165" s="1128"/>
      <c r="M165" s="1128" t="s">
        <v>105</v>
      </c>
      <c r="N165" s="1497" t="str">
        <f>IF(Z165="","",INDEX(TERRITORY_MR_LIST,MATCH(Z165,TERRITORY_LIST_ID,0)))</f>
        <v/>
      </c>
      <c r="O165" s="1203" t="s">
        <v>62</v>
      </c>
      <c r="P165" s="1128"/>
      <c r="Q165" s="1128" t="s">
        <v>105</v>
      </c>
      <c r="R165" s="1496" t="s">
        <v>18</v>
      </c>
      <c r="S165" s="1127" t="s">
        <v>62</v>
      </c>
      <c r="T165" s="44"/>
      <c r="U165" s="44" t="s">
        <v>105</v>
      </c>
      <c r="V165" s="246" t="s">
        <v>18</v>
      </c>
      <c r="W165" s="38"/>
      <c r="Y165" s="721"/>
      <c r="Z165" s="721"/>
      <c r="AA165" s="721"/>
      <c r="AB165" s="721"/>
      <c r="AC165" s="721"/>
      <c r="AD165" s="721"/>
      <c r="AE165" s="721"/>
      <c r="AF165" s="721"/>
      <c r="AG165" s="721"/>
      <c r="AH165" s="721"/>
      <c r="AI165" s="721"/>
      <c r="AJ165" s="721"/>
      <c r="AK165" s="721"/>
      <c r="AL165" s="142"/>
      <c r="AM165" s="142"/>
      <c r="AN165" s="721"/>
      <c r="AO165" s="721"/>
      <c r="AP165" s="721"/>
      <c r="AQ165" s="721"/>
    </row>
    <row r="166" spans="1:43" s="36" customFormat="1" ht="17.25" customHeight="1">
      <c r="A166" s="186"/>
      <c r="D166" s="980"/>
      <c r="E166" s="989"/>
      <c r="F166" s="967"/>
      <c r="G166" s="990"/>
      <c r="H166" s="980"/>
      <c r="I166" s="980"/>
      <c r="J166" s="991"/>
      <c r="K166" s="958"/>
      <c r="L166" s="1128"/>
      <c r="M166" s="1128"/>
      <c r="N166" s="1497"/>
      <c r="O166" s="1204"/>
      <c r="P166" s="1128"/>
      <c r="Q166" s="1128"/>
      <c r="R166" s="1496"/>
      <c r="S166" s="1127"/>
      <c r="T166" s="183"/>
      <c r="U166" s="184"/>
      <c r="V166" s="184" t="s">
        <v>413</v>
      </c>
      <c r="W166" s="185"/>
      <c r="Y166" s="18"/>
      <c r="Z166" s="18"/>
      <c r="AA166" s="18"/>
      <c r="AB166" s="18"/>
      <c r="AC166" s="18"/>
      <c r="AD166" s="18"/>
      <c r="AE166" s="18"/>
      <c r="AF166" s="18"/>
      <c r="AG166" s="18"/>
      <c r="AH166" s="18"/>
      <c r="AI166" s="18"/>
      <c r="AJ166" s="18"/>
      <c r="AK166" s="18"/>
    </row>
    <row r="167" spans="1:43" s="36" customFormat="1" ht="17.25" customHeight="1">
      <c r="A167" s="186"/>
      <c r="D167" s="980"/>
      <c r="E167" s="989"/>
      <c r="F167" s="967"/>
      <c r="G167" s="990"/>
      <c r="H167" s="980"/>
      <c r="I167" s="980"/>
      <c r="J167" s="991"/>
      <c r="K167" s="958"/>
      <c r="L167" s="1125"/>
      <c r="M167" s="1125"/>
      <c r="N167" s="1498"/>
      <c r="O167" s="1132"/>
      <c r="P167" s="183"/>
      <c r="Q167" s="184"/>
      <c r="R167" s="184" t="s">
        <v>414</v>
      </c>
      <c r="S167" s="988"/>
      <c r="T167" s="988"/>
      <c r="U167" s="988"/>
      <c r="V167" s="988"/>
      <c r="W167" s="185"/>
      <c r="Y167" s="18"/>
      <c r="Z167" s="18"/>
      <c r="AA167" s="18"/>
      <c r="AB167" s="18"/>
      <c r="AC167" s="18"/>
      <c r="AD167" s="18"/>
      <c r="AE167" s="18"/>
      <c r="AF167" s="18"/>
      <c r="AG167" s="18"/>
      <c r="AH167" s="18"/>
      <c r="AI167" s="18"/>
      <c r="AJ167" s="18"/>
      <c r="AK167" s="18"/>
    </row>
    <row r="168" spans="1:43" ht="17.25" customHeight="1">
      <c r="G168" s="987"/>
      <c r="H168" s="987"/>
      <c r="I168" s="987"/>
    </row>
    <row r="169" spans="1:43" s="36" customFormat="1" ht="17.25" customHeight="1">
      <c r="A169" s="186"/>
      <c r="C169" s="76"/>
      <c r="D169" s="980"/>
      <c r="E169" s="989"/>
      <c r="F169" s="967"/>
      <c r="G169" s="990"/>
      <c r="H169" s="980"/>
      <c r="I169" s="980"/>
      <c r="J169" s="991"/>
      <c r="K169" s="958"/>
      <c r="L169" s="860"/>
      <c r="M169" s="860"/>
      <c r="N169" s="992"/>
      <c r="O169" s="968"/>
      <c r="P169" s="1128"/>
      <c r="Q169" s="1128" t="s">
        <v>105</v>
      </c>
      <c r="R169" s="1496" t="s">
        <v>18</v>
      </c>
      <c r="S169" s="1127" t="s">
        <v>62</v>
      </c>
      <c r="T169" s="44"/>
      <c r="U169" s="44" t="s">
        <v>105</v>
      </c>
      <c r="V169" s="246" t="s">
        <v>18</v>
      </c>
      <c r="W169" s="38"/>
      <c r="Y169" s="721"/>
      <c r="Z169" s="721"/>
      <c r="AA169" s="721"/>
      <c r="AB169" s="721"/>
      <c r="AC169" s="721"/>
      <c r="AD169" s="721"/>
      <c r="AE169" s="721"/>
      <c r="AF169" s="721"/>
      <c r="AG169" s="721"/>
      <c r="AH169" s="721"/>
      <c r="AI169" s="721"/>
      <c r="AJ169" s="721"/>
      <c r="AK169" s="721"/>
      <c r="AL169" s="142"/>
      <c r="AM169" s="142"/>
      <c r="AN169" s="721"/>
      <c r="AO169" s="721"/>
      <c r="AP169" s="721"/>
      <c r="AQ169" s="721"/>
    </row>
    <row r="170" spans="1:43" s="36" customFormat="1" ht="17.25" customHeight="1">
      <c r="A170" s="186"/>
      <c r="D170" s="980"/>
      <c r="E170" s="989"/>
      <c r="F170" s="967"/>
      <c r="G170" s="990"/>
      <c r="H170" s="980"/>
      <c r="I170" s="980"/>
      <c r="J170" s="991"/>
      <c r="K170" s="958"/>
      <c r="L170" s="860"/>
      <c r="M170" s="860"/>
      <c r="N170" s="992"/>
      <c r="O170" s="968"/>
      <c r="P170" s="1128"/>
      <c r="Q170" s="1128"/>
      <c r="R170" s="1496"/>
      <c r="S170" s="1127"/>
      <c r="T170" s="183"/>
      <c r="U170" s="184"/>
      <c r="V170" s="184" t="s">
        <v>413</v>
      </c>
      <c r="W170" s="185"/>
      <c r="Y170" s="18"/>
      <c r="Z170" s="18"/>
      <c r="AA170" s="18"/>
      <c r="AB170" s="18"/>
      <c r="AC170" s="18"/>
      <c r="AD170" s="18"/>
      <c r="AE170" s="18"/>
      <c r="AF170" s="18"/>
      <c r="AG170" s="18"/>
      <c r="AH170" s="18"/>
      <c r="AI170" s="18"/>
      <c r="AJ170" s="18"/>
      <c r="AK170" s="18"/>
    </row>
    <row r="171" spans="1:43" ht="17.25" customHeight="1">
      <c r="G171" s="987"/>
      <c r="H171" s="987"/>
      <c r="I171" s="987"/>
    </row>
    <row r="172" spans="1:43" s="36" customFormat="1" ht="17.25" customHeight="1">
      <c r="A172" s="186"/>
      <c r="C172" s="76"/>
      <c r="D172" s="980"/>
      <c r="E172" s="989"/>
      <c r="F172" s="967"/>
      <c r="G172" s="990"/>
      <c r="H172" s="860"/>
      <c r="I172" s="860"/>
      <c r="J172" s="955"/>
      <c r="K172" s="990"/>
      <c r="L172" s="860"/>
      <c r="M172" s="860"/>
      <c r="N172" s="990"/>
      <c r="O172" s="990"/>
      <c r="P172" s="860"/>
      <c r="Q172" s="860"/>
      <c r="R172" s="956"/>
      <c r="S172" s="990"/>
      <c r="T172" s="44"/>
      <c r="U172" s="44" t="s">
        <v>105</v>
      </c>
      <c r="V172" s="246" t="s">
        <v>18</v>
      </c>
      <c r="W172" s="38"/>
      <c r="Y172" s="721"/>
      <c r="Z172" s="721"/>
      <c r="AA172" s="721"/>
      <c r="AB172" s="721"/>
      <c r="AC172" s="721"/>
      <c r="AD172" s="721"/>
      <c r="AE172" s="721"/>
      <c r="AF172" s="721"/>
      <c r="AG172" s="721"/>
      <c r="AH172" s="721"/>
      <c r="AI172" s="721"/>
      <c r="AJ172" s="721"/>
      <c r="AK172" s="721"/>
      <c r="AL172" s="142"/>
      <c r="AM172" s="142"/>
      <c r="AN172" s="721"/>
      <c r="AO172" s="721"/>
      <c r="AP172" s="721"/>
      <c r="AQ172" s="721"/>
    </row>
    <row r="174" spans="1:43" s="974" customFormat="1" ht="17.25" customHeight="1">
      <c r="A174" s="974" t="s">
        <v>1898</v>
      </c>
    </row>
    <row r="175" spans="1:43" ht="17.25" customHeight="1">
      <c r="G175" s="987"/>
      <c r="H175" s="987"/>
      <c r="I175" s="987"/>
    </row>
    <row r="176" spans="1:43" s="36" customFormat="1" ht="17.25" customHeight="1">
      <c r="A176" s="186"/>
      <c r="C176" s="76"/>
      <c r="D176" s="1510"/>
      <c r="E176" s="1161"/>
      <c r="F176" s="1163"/>
      <c r="G176" s="1511"/>
      <c r="H176" s="1510"/>
      <c r="I176" s="1510">
        <v>1</v>
      </c>
      <c r="J176" s="1495"/>
      <c r="K176" s="1203" t="s">
        <v>62</v>
      </c>
      <c r="L176" s="1128"/>
      <c r="M176" s="1128" t="s">
        <v>105</v>
      </c>
      <c r="N176" s="1497" t="str">
        <f>IF(Z176="","",INDEX(TERRITORY_MR_LIST,MATCH(Z176,TERRITORY_LIST_ID,0)))</f>
        <v/>
      </c>
      <c r="O176" s="1203" t="s">
        <v>62</v>
      </c>
      <c r="P176" s="1128"/>
      <c r="Q176" s="1128" t="s">
        <v>105</v>
      </c>
      <c r="R176" s="1496" t="s">
        <v>18</v>
      </c>
      <c r="S176" s="1379" t="s">
        <v>52</v>
      </c>
      <c r="T176" s="806"/>
      <c r="U176" s="806" t="s">
        <v>105</v>
      </c>
      <c r="V176" s="799"/>
      <c r="W176" s="1495"/>
      <c r="Y176" s="721"/>
      <c r="Z176" s="721"/>
      <c r="AA176" s="721"/>
      <c r="AB176" s="721"/>
      <c r="AC176" s="721"/>
      <c r="AD176" s="721"/>
      <c r="AE176" s="721"/>
      <c r="AF176" s="721"/>
      <c r="AG176" s="721"/>
      <c r="AH176" s="721"/>
      <c r="AI176" s="721"/>
      <c r="AJ176" s="721"/>
      <c r="AK176" s="721"/>
      <c r="AL176" s="142"/>
      <c r="AM176" s="142"/>
      <c r="AN176" s="721"/>
      <c r="AO176" s="721"/>
      <c r="AP176" s="721"/>
      <c r="AQ176" s="721"/>
    </row>
    <row r="177" spans="1:43" s="36" customFormat="1" ht="17.25" customHeight="1">
      <c r="A177" s="186"/>
      <c r="D177" s="1510"/>
      <c r="E177" s="1161"/>
      <c r="F177" s="1164"/>
      <c r="G177" s="1511"/>
      <c r="H177" s="1510"/>
      <c r="I177" s="1510"/>
      <c r="J177" s="1495"/>
      <c r="K177" s="1204"/>
      <c r="L177" s="1128"/>
      <c r="M177" s="1128"/>
      <c r="N177" s="1497"/>
      <c r="O177" s="1204"/>
      <c r="P177" s="1128"/>
      <c r="Q177" s="1128"/>
      <c r="R177" s="1496"/>
      <c r="S177" s="1379"/>
      <c r="T177" s="800"/>
      <c r="U177" s="801"/>
      <c r="V177" s="801"/>
      <c r="W177" s="1495"/>
      <c r="Y177" s="18"/>
      <c r="Z177" s="18"/>
      <c r="AA177" s="18"/>
      <c r="AB177" s="18"/>
      <c r="AC177" s="18"/>
      <c r="AD177" s="18"/>
      <c r="AE177" s="18"/>
      <c r="AF177" s="18"/>
      <c r="AG177" s="18"/>
      <c r="AH177" s="18"/>
      <c r="AI177" s="18"/>
      <c r="AJ177" s="18"/>
      <c r="AK177" s="18"/>
    </row>
    <row r="178" spans="1:43" s="36" customFormat="1" ht="17.25" customHeight="1">
      <c r="A178" s="186"/>
      <c r="D178" s="1125"/>
      <c r="E178" s="1162"/>
      <c r="F178" s="1164"/>
      <c r="G178" s="1512"/>
      <c r="H178" s="1125"/>
      <c r="I178" s="1125"/>
      <c r="J178" s="1513"/>
      <c r="K178" s="1204"/>
      <c r="L178" s="1125"/>
      <c r="M178" s="1125"/>
      <c r="N178" s="1498"/>
      <c r="O178" s="1132"/>
      <c r="P178" s="183"/>
      <c r="Q178" s="184"/>
      <c r="R178" s="184" t="s">
        <v>414</v>
      </c>
      <c r="S178" s="988"/>
      <c r="T178" s="988"/>
      <c r="U178" s="988"/>
      <c r="V178" s="988"/>
      <c r="W178" s="798"/>
      <c r="Y178" s="18"/>
      <c r="Z178" s="18"/>
      <c r="AA178" s="18"/>
      <c r="AB178" s="18"/>
      <c r="AC178" s="18"/>
      <c r="AD178" s="18"/>
      <c r="AE178" s="18"/>
      <c r="AF178" s="18"/>
      <c r="AG178" s="18"/>
      <c r="AH178" s="18"/>
      <c r="AI178" s="18"/>
      <c r="AJ178" s="18"/>
      <c r="AK178" s="18"/>
    </row>
    <row r="179" spans="1:43" s="36" customFormat="1" ht="17.25" customHeight="1">
      <c r="A179" s="186"/>
      <c r="D179" s="1125"/>
      <c r="E179" s="1162"/>
      <c r="F179" s="1164"/>
      <c r="G179" s="1512"/>
      <c r="H179" s="1125"/>
      <c r="I179" s="1125"/>
      <c r="J179" s="1513"/>
      <c r="K179" s="1132"/>
      <c r="L179" s="183"/>
      <c r="M179" s="184"/>
      <c r="N179" s="184" t="s">
        <v>415</v>
      </c>
      <c r="O179" s="184"/>
      <c r="P179" s="184"/>
      <c r="Q179" s="184"/>
      <c r="R179" s="184"/>
      <c r="S179" s="988"/>
      <c r="T179" s="988"/>
      <c r="U179" s="988"/>
      <c r="V179" s="988"/>
      <c r="W179" s="185"/>
      <c r="Y179" s="18"/>
      <c r="Z179" s="18"/>
      <c r="AA179" s="18"/>
      <c r="AB179" s="18"/>
      <c r="AC179" s="18"/>
      <c r="AD179" s="18"/>
      <c r="AE179" s="18"/>
      <c r="AF179" s="18"/>
      <c r="AG179" s="18"/>
      <c r="AH179" s="18"/>
      <c r="AI179" s="18"/>
      <c r="AJ179" s="18"/>
      <c r="AK179" s="18"/>
    </row>
    <row r="180" spans="1:43" s="36" customFormat="1" ht="17.25" customHeight="1">
      <c r="A180" s="186"/>
      <c r="D180" s="1125"/>
      <c r="E180" s="1162"/>
      <c r="F180" s="1165"/>
      <c r="G180" s="1512"/>
      <c r="H180" s="183"/>
      <c r="I180" s="184"/>
      <c r="J180" s="184" t="s">
        <v>447</v>
      </c>
      <c r="K180" s="184"/>
      <c r="L180" s="184"/>
      <c r="M180" s="184"/>
      <c r="N180" s="184"/>
      <c r="O180" s="184"/>
      <c r="P180" s="184"/>
      <c r="Q180" s="184"/>
      <c r="R180" s="184"/>
      <c r="S180" s="988"/>
      <c r="T180" s="988"/>
      <c r="U180" s="988"/>
      <c r="V180" s="988"/>
      <c r="W180" s="185"/>
      <c r="Y180" s="18"/>
      <c r="Z180" s="18"/>
      <c r="AA180" s="18"/>
      <c r="AB180" s="18"/>
      <c r="AC180" s="18"/>
      <c r="AD180" s="18"/>
      <c r="AE180" s="18"/>
      <c r="AF180" s="18"/>
      <c r="AG180" s="18"/>
      <c r="AH180" s="18"/>
      <c r="AI180" s="18"/>
      <c r="AJ180" s="18"/>
      <c r="AK180" s="18"/>
    </row>
    <row r="181" spans="1:43" ht="17.25" customHeight="1"/>
    <row r="182" spans="1:43" s="36" customFormat="1" ht="17.25" customHeight="1">
      <c r="A182" s="186"/>
      <c r="C182" s="76"/>
      <c r="D182" s="980"/>
      <c r="E182" s="989"/>
      <c r="F182" s="967"/>
      <c r="G182" s="990"/>
      <c r="H182" s="1510"/>
      <c r="I182" s="1510">
        <v>1</v>
      </c>
      <c r="J182" s="1495"/>
      <c r="K182" s="1203" t="s">
        <v>62</v>
      </c>
      <c r="L182" s="1128"/>
      <c r="M182" s="1128" t="s">
        <v>105</v>
      </c>
      <c r="N182" s="1497" t="str">
        <f>IF(Z182="","",INDEX(TERRITORY_MR_LIST,MATCH(Z182,TERRITORY_LIST_ID,0)))</f>
        <v/>
      </c>
      <c r="O182" s="1203" t="s">
        <v>62</v>
      </c>
      <c r="P182" s="1128"/>
      <c r="Q182" s="1128" t="s">
        <v>105</v>
      </c>
      <c r="R182" s="1496" t="s">
        <v>18</v>
      </c>
      <c r="S182" s="1379" t="s">
        <v>52</v>
      </c>
      <c r="T182" s="806"/>
      <c r="U182" s="806" t="s">
        <v>105</v>
      </c>
      <c r="V182" s="799"/>
      <c r="W182" s="1495"/>
      <c r="Y182" s="721"/>
      <c r="Z182" s="721"/>
      <c r="AA182" s="721"/>
      <c r="AB182" s="721"/>
      <c r="AC182" s="721"/>
      <c r="AD182" s="721"/>
      <c r="AE182" s="721"/>
      <c r="AF182" s="721"/>
      <c r="AG182" s="721"/>
      <c r="AH182" s="721"/>
      <c r="AI182" s="721"/>
      <c r="AJ182" s="721"/>
      <c r="AK182" s="721"/>
      <c r="AL182" s="142"/>
      <c r="AM182" s="142"/>
      <c r="AN182" s="721"/>
      <c r="AO182" s="721"/>
      <c r="AP182" s="721"/>
      <c r="AQ182" s="721"/>
    </row>
    <row r="183" spans="1:43" s="36" customFormat="1" ht="17.25" customHeight="1">
      <c r="A183" s="186"/>
      <c r="D183" s="980"/>
      <c r="E183" s="989"/>
      <c r="F183" s="967"/>
      <c r="G183" s="990"/>
      <c r="H183" s="1510"/>
      <c r="I183" s="1510"/>
      <c r="J183" s="1495"/>
      <c r="K183" s="1204"/>
      <c r="L183" s="1128"/>
      <c r="M183" s="1128"/>
      <c r="N183" s="1497"/>
      <c r="O183" s="1204"/>
      <c r="P183" s="1128"/>
      <c r="Q183" s="1128"/>
      <c r="R183" s="1496"/>
      <c r="S183" s="1379"/>
      <c r="T183" s="800"/>
      <c r="U183" s="801"/>
      <c r="V183" s="801"/>
      <c r="W183" s="1495"/>
      <c r="Y183" s="18"/>
      <c r="Z183" s="18"/>
      <c r="AA183" s="18"/>
      <c r="AB183" s="18"/>
      <c r="AC183" s="18"/>
      <c r="AD183" s="18"/>
      <c r="AE183" s="18"/>
      <c r="AF183" s="18"/>
      <c r="AG183" s="18"/>
      <c r="AH183" s="18"/>
      <c r="AI183" s="18"/>
      <c r="AJ183" s="18"/>
      <c r="AK183" s="18"/>
    </row>
    <row r="184" spans="1:43" s="36" customFormat="1" ht="17.25" customHeight="1">
      <c r="A184" s="186"/>
      <c r="D184" s="980"/>
      <c r="E184" s="989"/>
      <c r="F184" s="967"/>
      <c r="G184" s="990"/>
      <c r="H184" s="1125"/>
      <c r="I184" s="1125"/>
      <c r="J184" s="1513"/>
      <c r="K184" s="1204"/>
      <c r="L184" s="1125"/>
      <c r="M184" s="1125"/>
      <c r="N184" s="1498"/>
      <c r="O184" s="1132"/>
      <c r="P184" s="183"/>
      <c r="Q184" s="184"/>
      <c r="R184" s="184" t="s">
        <v>414</v>
      </c>
      <c r="S184" s="988"/>
      <c r="T184" s="988"/>
      <c r="U184" s="988"/>
      <c r="V184" s="988"/>
      <c r="W184" s="798"/>
      <c r="Y184" s="18"/>
      <c r="Z184" s="18"/>
      <c r="AA184" s="18"/>
      <c r="AB184" s="18"/>
      <c r="AC184" s="18"/>
      <c r="AD184" s="18"/>
      <c r="AE184" s="18"/>
      <c r="AF184" s="18"/>
      <c r="AG184" s="18"/>
      <c r="AH184" s="18"/>
      <c r="AI184" s="18"/>
      <c r="AJ184" s="18"/>
      <c r="AK184" s="18"/>
    </row>
    <row r="185" spans="1:43" s="36" customFormat="1" ht="17.25" customHeight="1">
      <c r="A185" s="186"/>
      <c r="D185" s="980"/>
      <c r="E185" s="989"/>
      <c r="F185" s="967"/>
      <c r="G185" s="990"/>
      <c r="H185" s="1125"/>
      <c r="I185" s="1125"/>
      <c r="J185" s="1513"/>
      <c r="K185" s="1132"/>
      <c r="L185" s="183"/>
      <c r="M185" s="184"/>
      <c r="N185" s="184" t="s">
        <v>415</v>
      </c>
      <c r="O185" s="184"/>
      <c r="P185" s="184"/>
      <c r="Q185" s="184"/>
      <c r="R185" s="184"/>
      <c r="S185" s="988"/>
      <c r="T185" s="988"/>
      <c r="U185" s="988"/>
      <c r="V185" s="988"/>
      <c r="W185" s="185"/>
      <c r="Y185" s="18"/>
      <c r="Z185" s="18"/>
      <c r="AA185" s="18"/>
      <c r="AB185" s="18"/>
      <c r="AC185" s="18"/>
      <c r="AD185" s="18"/>
      <c r="AE185" s="18"/>
      <c r="AF185" s="18"/>
      <c r="AG185" s="18"/>
      <c r="AH185" s="18"/>
      <c r="AI185" s="18"/>
      <c r="AJ185" s="18"/>
      <c r="AK185" s="18"/>
    </row>
    <row r="186" spans="1:43" ht="17.25" customHeight="1"/>
    <row r="187" spans="1:43" s="36" customFormat="1" ht="17.25" customHeight="1">
      <c r="A187" s="186"/>
      <c r="C187" s="76"/>
      <c r="D187" s="980"/>
      <c r="E187" s="989"/>
      <c r="F187" s="967"/>
      <c r="G187" s="990"/>
      <c r="H187" s="980"/>
      <c r="I187" s="980"/>
      <c r="J187" s="993"/>
      <c r="K187" s="990"/>
      <c r="L187" s="1128"/>
      <c r="M187" s="1128" t="s">
        <v>105</v>
      </c>
      <c r="N187" s="1497" t="str">
        <f>IF(Z187="","",INDEX(TERRITORY_MR_LIST,MATCH(Z187,TERRITORY_LIST_ID,0)))</f>
        <v/>
      </c>
      <c r="O187" s="1203" t="s">
        <v>62</v>
      </c>
      <c r="P187" s="1128"/>
      <c r="Q187" s="1128" t="s">
        <v>105</v>
      </c>
      <c r="R187" s="1496" t="s">
        <v>18</v>
      </c>
      <c r="S187" s="1379" t="s">
        <v>52</v>
      </c>
      <c r="T187" s="806"/>
      <c r="U187" s="806" t="s">
        <v>105</v>
      </c>
      <c r="V187" s="799"/>
      <c r="W187" s="1495"/>
      <c r="Y187" s="721"/>
      <c r="Z187" s="721"/>
      <c r="AA187" s="721"/>
      <c r="AB187" s="721"/>
      <c r="AC187" s="721"/>
      <c r="AD187" s="721"/>
      <c r="AE187" s="721"/>
      <c r="AF187" s="721"/>
      <c r="AG187" s="721"/>
      <c r="AH187" s="721"/>
      <c r="AI187" s="721"/>
      <c r="AJ187" s="721"/>
      <c r="AK187" s="721"/>
      <c r="AL187" s="142"/>
      <c r="AM187" s="142"/>
      <c r="AN187" s="721"/>
      <c r="AO187" s="721"/>
      <c r="AP187" s="721"/>
      <c r="AQ187" s="721"/>
    </row>
    <row r="188" spans="1:43" s="36" customFormat="1" ht="17.25" customHeight="1">
      <c r="A188" s="186"/>
      <c r="D188" s="980"/>
      <c r="E188" s="989"/>
      <c r="F188" s="967"/>
      <c r="G188" s="990"/>
      <c r="H188" s="980"/>
      <c r="I188" s="980"/>
      <c r="J188" s="993"/>
      <c r="K188" s="990"/>
      <c r="L188" s="1128"/>
      <c r="M188" s="1128"/>
      <c r="N188" s="1497"/>
      <c r="O188" s="1204"/>
      <c r="P188" s="1128"/>
      <c r="Q188" s="1128"/>
      <c r="R188" s="1496"/>
      <c r="S188" s="1379"/>
      <c r="T188" s="800"/>
      <c r="U188" s="801"/>
      <c r="V188" s="801"/>
      <c r="W188" s="1495"/>
      <c r="Y188" s="18"/>
      <c r="Z188" s="18"/>
      <c r="AA188" s="18"/>
      <c r="AB188" s="18"/>
      <c r="AC188" s="18"/>
      <c r="AD188" s="18"/>
      <c r="AE188" s="18"/>
      <c r="AF188" s="18"/>
      <c r="AG188" s="18"/>
      <c r="AH188" s="18"/>
      <c r="AI188" s="18"/>
      <c r="AJ188" s="18"/>
      <c r="AK188" s="18"/>
    </row>
    <row r="189" spans="1:43" s="36" customFormat="1" ht="17.25" customHeight="1">
      <c r="A189" s="186"/>
      <c r="D189" s="980"/>
      <c r="E189" s="989"/>
      <c r="F189" s="967"/>
      <c r="G189" s="990"/>
      <c r="H189" s="980"/>
      <c r="I189" s="980"/>
      <c r="J189" s="993"/>
      <c r="K189" s="990"/>
      <c r="L189" s="1125"/>
      <c r="M189" s="1125"/>
      <c r="N189" s="1498"/>
      <c r="O189" s="1132"/>
      <c r="P189" s="183"/>
      <c r="Q189" s="184"/>
      <c r="R189" s="184" t="s">
        <v>414</v>
      </c>
      <c r="S189" s="988"/>
      <c r="T189" s="988"/>
      <c r="U189" s="988"/>
      <c r="V189" s="988"/>
      <c r="W189" s="798"/>
      <c r="Y189" s="18"/>
      <c r="Z189" s="18"/>
      <c r="AA189" s="18"/>
      <c r="AB189" s="18"/>
      <c r="AC189" s="18"/>
      <c r="AD189" s="18"/>
      <c r="AE189" s="18"/>
      <c r="AF189" s="18"/>
      <c r="AG189" s="18"/>
      <c r="AH189" s="18"/>
      <c r="AI189" s="18"/>
      <c r="AJ189" s="18"/>
      <c r="AK189" s="18"/>
    </row>
    <row r="190" spans="1:43" ht="17.25" customHeight="1"/>
    <row r="191" spans="1:43" s="36" customFormat="1" ht="17.25" customHeight="1">
      <c r="A191" s="186"/>
      <c r="C191" s="76"/>
      <c r="D191" s="980"/>
      <c r="E191" s="989"/>
      <c r="F191" s="967"/>
      <c r="G191" s="990"/>
      <c r="H191" s="980"/>
      <c r="I191" s="980"/>
      <c r="J191" s="993"/>
      <c r="K191" s="990"/>
      <c r="L191" s="980"/>
      <c r="M191" s="980"/>
      <c r="N191" s="992"/>
      <c r="O191" s="968"/>
      <c r="P191" s="1128"/>
      <c r="Q191" s="1128" t="s">
        <v>105</v>
      </c>
      <c r="R191" s="1496" t="s">
        <v>18</v>
      </c>
      <c r="S191" s="1379" t="s">
        <v>52</v>
      </c>
      <c r="T191" s="806"/>
      <c r="U191" s="806" t="s">
        <v>105</v>
      </c>
      <c r="V191" s="799"/>
      <c r="W191" s="1495"/>
      <c r="Y191" s="721"/>
      <c r="Z191" s="721"/>
      <c r="AA191" s="721"/>
      <c r="AB191" s="721"/>
      <c r="AC191" s="721"/>
      <c r="AD191" s="721"/>
      <c r="AE191" s="721"/>
      <c r="AF191" s="721"/>
      <c r="AG191" s="721"/>
      <c r="AH191" s="721"/>
      <c r="AI191" s="721"/>
      <c r="AJ191" s="721"/>
      <c r="AK191" s="721"/>
      <c r="AL191" s="142"/>
      <c r="AM191" s="142"/>
      <c r="AN191" s="721"/>
      <c r="AO191" s="721"/>
      <c r="AP191" s="721"/>
      <c r="AQ191" s="721"/>
    </row>
    <row r="192" spans="1:43" s="36" customFormat="1" ht="17.25" customHeight="1">
      <c r="A192" s="186"/>
      <c r="D192" s="980"/>
      <c r="E192" s="989"/>
      <c r="F192" s="967"/>
      <c r="G192" s="990"/>
      <c r="H192" s="980"/>
      <c r="I192" s="980"/>
      <c r="J192" s="993"/>
      <c r="K192" s="990"/>
      <c r="L192" s="980"/>
      <c r="M192" s="980"/>
      <c r="N192" s="992"/>
      <c r="O192" s="968"/>
      <c r="P192" s="1128"/>
      <c r="Q192" s="1128"/>
      <c r="R192" s="1496"/>
      <c r="S192" s="1379"/>
      <c r="T192" s="800"/>
      <c r="U192" s="801"/>
      <c r="V192" s="801"/>
      <c r="W192" s="1495"/>
      <c r="Y192" s="18"/>
      <c r="Z192" s="18"/>
      <c r="AA192" s="18"/>
      <c r="AB192" s="18"/>
      <c r="AC192" s="18"/>
      <c r="AD192" s="18"/>
      <c r="AE192" s="18"/>
      <c r="AF192" s="18"/>
      <c r="AG192" s="18"/>
      <c r="AH192" s="18"/>
      <c r="AI192" s="18"/>
      <c r="AJ192" s="18"/>
      <c r="AK192" s="18"/>
    </row>
    <row r="193" spans="1:63" ht="17.25" customHeight="1"/>
    <row r="194" spans="1:63" ht="16.5" customHeight="1">
      <c r="A194" s="186"/>
      <c r="B194" s="36"/>
      <c r="C194" s="36"/>
      <c r="D194" s="1510"/>
      <c r="E194" s="1197"/>
      <c r="F194" s="1197"/>
      <c r="G194" s="1146"/>
      <c r="H194" s="1166"/>
      <c r="I194" s="1168"/>
      <c r="J194" s="1170"/>
      <c r="K194" s="1155"/>
      <c r="L194" s="1155"/>
      <c r="M194" s="1155"/>
      <c r="N194" s="1157"/>
      <c r="O194" s="1155"/>
      <c r="P194" s="1155"/>
      <c r="Q194" s="1155"/>
      <c r="R194" s="1160"/>
      <c r="S194" s="1155"/>
      <c r="T194" s="794"/>
      <c r="U194" s="794"/>
      <c r="V194" s="793"/>
      <c r="W194" s="736"/>
    </row>
    <row r="195" spans="1:63" ht="16.5" customHeight="1">
      <c r="A195" s="186"/>
      <c r="B195" s="36"/>
      <c r="C195" s="36"/>
      <c r="D195" s="1510"/>
      <c r="E195" s="1197"/>
      <c r="F195" s="1197"/>
      <c r="G195" s="1146"/>
      <c r="H195" s="1167"/>
      <c r="I195" s="1169"/>
      <c r="J195" s="1171"/>
      <c r="K195" s="1156"/>
      <c r="L195" s="1156"/>
      <c r="M195" s="1156"/>
      <c r="N195" s="1158"/>
      <c r="O195" s="1156"/>
      <c r="P195" s="1156"/>
      <c r="Q195" s="1156"/>
      <c r="R195" s="1159"/>
      <c r="S195" s="1156"/>
      <c r="T195" s="737"/>
      <c r="U195" s="737"/>
      <c r="V195" s="737"/>
      <c r="W195" s="738"/>
    </row>
    <row r="196" spans="1:63" ht="17.25" customHeight="1">
      <c r="A196" s="186"/>
      <c r="B196" s="36"/>
      <c r="C196" s="36"/>
      <c r="D196" s="1510"/>
      <c r="E196" s="1197"/>
      <c r="F196" s="1197"/>
      <c r="G196" s="1146"/>
      <c r="H196" s="1167"/>
      <c r="I196" s="1169"/>
      <c r="J196" s="1172"/>
      <c r="K196" s="1156"/>
      <c r="L196" s="1156"/>
      <c r="M196" s="1156"/>
      <c r="N196" s="1159"/>
      <c r="O196" s="1156"/>
      <c r="P196" s="56"/>
      <c r="Q196" s="737"/>
      <c r="R196" s="737"/>
      <c r="S196" s="36"/>
      <c r="T196" s="36"/>
      <c r="U196" s="36"/>
      <c r="V196" s="36"/>
      <c r="W196" s="738"/>
    </row>
    <row r="197" spans="1:63" ht="17.25" customHeight="1">
      <c r="A197" s="186"/>
      <c r="B197" s="36"/>
      <c r="C197" s="36"/>
      <c r="D197" s="1510"/>
      <c r="E197" s="1197"/>
      <c r="F197" s="1197"/>
      <c r="G197" s="1146"/>
      <c r="H197" s="1167"/>
      <c r="I197" s="1169"/>
      <c r="J197" s="1172"/>
      <c r="K197" s="1156"/>
      <c r="L197" s="737"/>
      <c r="M197" s="737"/>
      <c r="N197" s="737"/>
      <c r="O197" s="737"/>
      <c r="P197" s="737"/>
      <c r="Q197" s="737"/>
      <c r="R197" s="737"/>
      <c r="S197" s="36"/>
      <c r="T197" s="36"/>
      <c r="U197" s="36"/>
      <c r="V197" s="36"/>
      <c r="W197" s="738"/>
    </row>
    <row r="198" spans="1:63" ht="17.25" customHeight="1">
      <c r="A198" s="186"/>
      <c r="B198" s="36"/>
      <c r="C198" s="36"/>
      <c r="D198" s="1510"/>
      <c r="E198" s="1197"/>
      <c r="F198" s="1197"/>
      <c r="G198" s="1146"/>
      <c r="H198" s="739"/>
      <c r="I198" s="740"/>
      <c r="J198" s="740"/>
      <c r="K198" s="740"/>
      <c r="L198" s="740"/>
      <c r="M198" s="740"/>
      <c r="N198" s="740"/>
      <c r="O198" s="740"/>
      <c r="P198" s="740"/>
      <c r="Q198" s="740"/>
      <c r="R198" s="740"/>
      <c r="S198" s="741"/>
      <c r="T198" s="741"/>
      <c r="U198" s="741"/>
      <c r="V198" s="741"/>
      <c r="W198" s="742"/>
    </row>
    <row r="200" spans="1:63" s="974" customFormat="1" ht="17.25" customHeight="1">
      <c r="A200" s="974" t="s">
        <v>1899</v>
      </c>
    </row>
    <row r="201" spans="1:63" ht="17.25" customHeight="1">
      <c r="G201" s="987"/>
      <c r="H201" s="987"/>
      <c r="I201" s="987"/>
    </row>
    <row r="202" spans="1:63" ht="15" customHeight="1">
      <c r="D202" s="1504"/>
      <c r="E202" s="1214"/>
      <c r="F202" s="1214"/>
      <c r="G202" s="1203"/>
      <c r="H202" s="858"/>
      <c r="I202" s="1508">
        <v>1</v>
      </c>
      <c r="J202" s="1495"/>
      <c r="K202" s="152"/>
      <c r="L202" s="1203" t="s">
        <v>62</v>
      </c>
      <c r="M202" s="1203" t="s">
        <v>62</v>
      </c>
      <c r="N202" s="858"/>
      <c r="O202" s="1128" t="s">
        <v>105</v>
      </c>
      <c r="P202" s="1413"/>
      <c r="Q202" s="152"/>
      <c r="R202" s="1203" t="s">
        <v>62</v>
      </c>
      <c r="S202" s="1203" t="s">
        <v>62</v>
      </c>
      <c r="T202" s="994"/>
      <c r="U202" s="1128" t="s">
        <v>105</v>
      </c>
      <c r="V202" s="1505" t="str">
        <f>IF(AK202="","",INDEX(TERRITORY_MR_LIST,MATCH(AK202,TERRITORY_LIST_ID,0)))</f>
        <v/>
      </c>
      <c r="W202" s="341"/>
      <c r="X202" s="1203" t="s">
        <v>62</v>
      </c>
      <c r="Y202" s="1203" t="s">
        <v>52</v>
      </c>
      <c r="Z202" s="858"/>
      <c r="AA202" s="1128" t="s">
        <v>105</v>
      </c>
      <c r="AB202" s="1507"/>
      <c r="AC202" s="868"/>
      <c r="AD202" s="1203" t="s">
        <v>62</v>
      </c>
      <c r="AE202" s="1203" t="s">
        <v>52</v>
      </c>
      <c r="AF202" s="341"/>
      <c r="AG202" s="44" t="s">
        <v>105</v>
      </c>
      <c r="AH202" s="864"/>
      <c r="AI202" s="38"/>
    </row>
    <row r="203" spans="1:63" ht="15" customHeight="1">
      <c r="D203" s="1504"/>
      <c r="E203" s="1214"/>
      <c r="F203" s="1214"/>
      <c r="G203" s="1204"/>
      <c r="H203" s="858"/>
      <c r="I203" s="1508"/>
      <c r="J203" s="1495"/>
      <c r="K203" s="857"/>
      <c r="L203" s="1204"/>
      <c r="M203" s="1204"/>
      <c r="N203" s="858"/>
      <c r="O203" s="1128"/>
      <c r="P203" s="1413"/>
      <c r="Q203" s="855"/>
      <c r="R203" s="1204"/>
      <c r="S203" s="1204"/>
      <c r="T203" s="994"/>
      <c r="U203" s="1128"/>
      <c r="V203" s="1506"/>
      <c r="W203" s="856"/>
      <c r="X203" s="1204"/>
      <c r="Y203" s="1204"/>
      <c r="Z203" s="858"/>
      <c r="AA203" s="1128"/>
      <c r="AB203" s="1490"/>
      <c r="AC203" s="587"/>
      <c r="AD203" s="1132"/>
      <c r="AE203" s="1132"/>
      <c r="AF203" s="859"/>
      <c r="AG203" s="183"/>
      <c r="AH203" s="1499" t="s">
        <v>1900</v>
      </c>
      <c r="AI203" s="1500"/>
    </row>
    <row r="204" spans="1:63" ht="15" customHeight="1">
      <c r="D204" s="1504"/>
      <c r="E204" s="1214"/>
      <c r="F204" s="1214"/>
      <c r="G204" s="1204"/>
      <c r="H204" s="858"/>
      <c r="I204" s="1508"/>
      <c r="J204" s="1495"/>
      <c r="K204" s="857"/>
      <c r="L204" s="1204"/>
      <c r="M204" s="1204"/>
      <c r="N204" s="858"/>
      <c r="O204" s="1128"/>
      <c r="P204" s="1413"/>
      <c r="Q204" s="855"/>
      <c r="R204" s="1204"/>
      <c r="S204" s="1204"/>
      <c r="T204" s="994"/>
      <c r="U204" s="1128"/>
      <c r="V204" s="1506"/>
      <c r="W204" s="856"/>
      <c r="X204" s="1204"/>
      <c r="Y204" s="1204"/>
      <c r="Z204" s="856"/>
      <c r="AA204" s="861"/>
      <c r="AB204" s="1501" t="s">
        <v>1901</v>
      </c>
      <c r="AC204" s="1501"/>
      <c r="AD204" s="1501"/>
      <c r="AE204" s="1501"/>
      <c r="AF204" s="1501"/>
      <c r="AG204" s="1501"/>
      <c r="AH204" s="1501"/>
      <c r="AI204" s="1502"/>
    </row>
    <row r="205" spans="1:63" ht="15" customHeight="1">
      <c r="D205" s="1504"/>
      <c r="E205" s="1214"/>
      <c r="F205" s="1214"/>
      <c r="G205" s="1204"/>
      <c r="H205" s="858"/>
      <c r="I205" s="1508"/>
      <c r="J205" s="1495"/>
      <c r="K205" s="857"/>
      <c r="L205" s="1204"/>
      <c r="M205" s="1204"/>
      <c r="N205" s="858"/>
      <c r="O205" s="1128"/>
      <c r="P205" s="1503"/>
      <c r="Q205" s="855"/>
      <c r="R205" s="1204"/>
      <c r="S205" s="1204"/>
      <c r="T205" s="995"/>
      <c r="U205" s="879"/>
      <c r="V205" s="1499" t="s">
        <v>99</v>
      </c>
      <c r="W205" s="1499"/>
      <c r="X205" s="1499"/>
      <c r="Y205" s="1499"/>
      <c r="Z205" s="1499"/>
      <c r="AA205" s="1499"/>
      <c r="AB205" s="1499"/>
      <c r="AC205" s="1499"/>
      <c r="AD205" s="1499"/>
      <c r="AE205" s="1499"/>
      <c r="AF205" s="1499"/>
      <c r="AG205" s="1499"/>
      <c r="AH205" s="1499"/>
      <c r="AI205" s="1500"/>
    </row>
    <row r="206" spans="1:63" ht="11.25" customHeight="1">
      <c r="D206" s="1504"/>
      <c r="E206" s="1214"/>
      <c r="F206" s="1214"/>
      <c r="G206" s="1204"/>
      <c r="H206" s="860"/>
      <c r="I206" s="1508"/>
      <c r="J206" s="1509"/>
      <c r="K206" s="857"/>
      <c r="L206" s="1204"/>
      <c r="M206" s="1204"/>
      <c r="N206" s="860"/>
      <c r="O206" s="861"/>
      <c r="P206" s="1499" t="s">
        <v>1902</v>
      </c>
      <c r="Q206" s="1499"/>
      <c r="R206" s="1499"/>
      <c r="S206" s="1499"/>
      <c r="T206" s="1499"/>
      <c r="U206" s="1499"/>
      <c r="V206" s="1499"/>
      <c r="W206" s="1499"/>
      <c r="X206" s="1499"/>
      <c r="Y206" s="1499"/>
      <c r="Z206" s="1499"/>
      <c r="AA206" s="1499"/>
      <c r="AB206" s="1499"/>
      <c r="AC206" s="1499"/>
      <c r="AD206" s="1499"/>
      <c r="AE206" s="1499"/>
      <c r="AF206" s="1499"/>
      <c r="AG206" s="1499"/>
      <c r="AH206" s="1499"/>
      <c r="AI206" s="1500"/>
    </row>
    <row r="207" spans="1:63" s="850" customFormat="1" ht="11.25" customHeight="1">
      <c r="D207" s="1504"/>
      <c r="E207" s="1214"/>
      <c r="F207" s="1214"/>
      <c r="G207" s="1132"/>
      <c r="H207" s="862"/>
      <c r="I207" s="863"/>
      <c r="J207" s="1499" t="s">
        <v>447</v>
      </c>
      <c r="K207" s="1499"/>
      <c r="L207" s="1499"/>
      <c r="M207" s="1499"/>
      <c r="N207" s="1499"/>
      <c r="O207" s="1499"/>
      <c r="P207" s="1499"/>
      <c r="Q207" s="1499"/>
      <c r="R207" s="1499"/>
      <c r="S207" s="1499"/>
      <c r="T207" s="1499"/>
      <c r="U207" s="1499"/>
      <c r="V207" s="1499"/>
      <c r="W207" s="1499"/>
      <c r="X207" s="1499"/>
      <c r="Y207" s="1499"/>
      <c r="Z207" s="1499"/>
      <c r="AA207" s="1499"/>
      <c r="AB207" s="1499"/>
      <c r="AC207" s="1499"/>
      <c r="AD207" s="1499"/>
      <c r="AE207" s="1499"/>
      <c r="AF207" s="1499"/>
      <c r="AG207" s="1499"/>
      <c r="AH207" s="1499"/>
      <c r="AI207" s="1500"/>
      <c r="BK207"/>
    </row>
    <row r="208" spans="1:63" ht="17.25" customHeight="1">
      <c r="G208" s="987"/>
      <c r="I208" s="987"/>
      <c r="J208" s="987"/>
    </row>
    <row r="209" spans="4:63" ht="15" customHeight="1">
      <c r="D209" s="1504"/>
      <c r="E209" s="1214"/>
      <c r="F209" s="1214"/>
      <c r="G209" s="1197"/>
      <c r="H209" s="875"/>
      <c r="I209" s="1199"/>
      <c r="J209" s="1170"/>
      <c r="K209" s="823"/>
      <c r="L209" s="1155"/>
      <c r="M209" s="1155"/>
      <c r="N209" s="869"/>
      <c r="O209" s="1155"/>
      <c r="P209" s="1170"/>
      <c r="Q209" s="823"/>
      <c r="R209" s="1155"/>
      <c r="S209" s="1155"/>
      <c r="T209" s="870"/>
      <c r="U209" s="1155"/>
      <c r="V209" s="1170"/>
      <c r="W209" s="794"/>
      <c r="X209" s="1155"/>
      <c r="Y209" s="1155"/>
      <c r="Z209" s="869"/>
      <c r="AA209" s="1155"/>
      <c r="AB209" s="1170"/>
      <c r="AC209" s="871"/>
      <c r="AD209" s="1155"/>
      <c r="AE209" s="1155"/>
      <c r="AF209" s="794"/>
      <c r="AG209" s="794"/>
      <c r="AH209" s="869"/>
      <c r="AI209" s="736"/>
    </row>
    <row r="210" spans="4:63" ht="15" customHeight="1">
      <c r="D210" s="1504"/>
      <c r="E210" s="1214"/>
      <c r="F210" s="1214"/>
      <c r="G210" s="1197"/>
      <c r="H210" s="876"/>
      <c r="I210" s="1200"/>
      <c r="J210" s="1171"/>
      <c r="K210" s="334"/>
      <c r="L210" s="1156"/>
      <c r="M210" s="1156"/>
      <c r="N210" s="34"/>
      <c r="O210" s="1156"/>
      <c r="P210" s="1171"/>
      <c r="Q210" s="374"/>
      <c r="R210" s="1156"/>
      <c r="S210" s="1156"/>
      <c r="T210" s="872"/>
      <c r="U210" s="1156"/>
      <c r="V210" s="1171"/>
      <c r="W210" s="56"/>
      <c r="X210" s="1156"/>
      <c r="Y210" s="1156"/>
      <c r="Z210" s="34"/>
      <c r="AA210" s="1156"/>
      <c r="AB210" s="1171"/>
      <c r="AC210" s="334"/>
      <c r="AD210" s="1156"/>
      <c r="AE210" s="1156"/>
      <c r="AF210" s="737"/>
      <c r="AG210" s="737"/>
      <c r="AH210" s="1195"/>
      <c r="AI210" s="1196"/>
    </row>
    <row r="211" spans="4:63" ht="15" customHeight="1">
      <c r="D211" s="1504"/>
      <c r="E211" s="1214"/>
      <c r="F211" s="1214"/>
      <c r="G211" s="1197"/>
      <c r="H211" s="876"/>
      <c r="I211" s="1200"/>
      <c r="J211" s="1171"/>
      <c r="K211" s="334"/>
      <c r="L211" s="1156"/>
      <c r="M211" s="1156"/>
      <c r="N211" s="34"/>
      <c r="O211" s="1156"/>
      <c r="P211" s="1171"/>
      <c r="Q211" s="374"/>
      <c r="R211" s="1156"/>
      <c r="S211" s="1156"/>
      <c r="T211" s="872"/>
      <c r="U211" s="1156"/>
      <c r="V211" s="1171"/>
      <c r="W211" s="56"/>
      <c r="X211" s="1156"/>
      <c r="Y211" s="1156"/>
      <c r="Z211" s="56"/>
      <c r="AA211" s="737"/>
      <c r="AB211" s="1195"/>
      <c r="AC211" s="1195"/>
      <c r="AD211" s="1195"/>
      <c r="AE211" s="1195"/>
      <c r="AF211" s="1195"/>
      <c r="AG211" s="1195"/>
      <c r="AH211" s="1195"/>
      <c r="AI211" s="1196"/>
    </row>
    <row r="212" spans="4:63" ht="15" customHeight="1">
      <c r="D212" s="1504"/>
      <c r="E212" s="1214"/>
      <c r="F212" s="1214"/>
      <c r="G212" s="1197"/>
      <c r="H212" s="876"/>
      <c r="I212" s="1200"/>
      <c r="J212" s="1171"/>
      <c r="K212" s="334"/>
      <c r="L212" s="1156"/>
      <c r="M212" s="1156"/>
      <c r="N212" s="34"/>
      <c r="O212" s="1156"/>
      <c r="P212" s="1171"/>
      <c r="Q212" s="374"/>
      <c r="R212" s="1156"/>
      <c r="S212" s="1156"/>
      <c r="T212" s="51"/>
      <c r="U212" s="873"/>
      <c r="V212" s="1195"/>
      <c r="W212" s="1195"/>
      <c r="X212" s="1195"/>
      <c r="Y212" s="1195"/>
      <c r="Z212" s="1195"/>
      <c r="AA212" s="1195"/>
      <c r="AB212" s="1195"/>
      <c r="AC212" s="1195"/>
      <c r="AD212" s="1195"/>
      <c r="AE212" s="1195"/>
      <c r="AF212" s="1195"/>
      <c r="AG212" s="1195"/>
      <c r="AH212" s="1195"/>
      <c r="AI212" s="1196"/>
    </row>
    <row r="213" spans="4:63" ht="11.25" customHeight="1">
      <c r="D213" s="1504"/>
      <c r="E213" s="1214"/>
      <c r="F213" s="1214"/>
      <c r="G213" s="1197"/>
      <c r="H213" s="877"/>
      <c r="I213" s="1200"/>
      <c r="J213" s="1171"/>
      <c r="K213" s="334"/>
      <c r="L213" s="1156"/>
      <c r="M213" s="1156"/>
      <c r="N213" s="737"/>
      <c r="O213" s="737"/>
      <c r="P213" s="1195"/>
      <c r="Q213" s="1195"/>
      <c r="R213" s="1195"/>
      <c r="S213" s="1195"/>
      <c r="T213" s="1195"/>
      <c r="U213" s="1195"/>
      <c r="V213" s="1195"/>
      <c r="W213" s="1195"/>
      <c r="X213" s="1195"/>
      <c r="Y213" s="1195"/>
      <c r="Z213" s="1195"/>
      <c r="AA213" s="1195"/>
      <c r="AB213" s="1195"/>
      <c r="AC213" s="1195"/>
      <c r="AD213" s="1195"/>
      <c r="AE213" s="1195"/>
      <c r="AF213" s="1195"/>
      <c r="AG213" s="1195"/>
      <c r="AH213" s="1195"/>
      <c r="AI213" s="1196"/>
    </row>
    <row r="214" spans="4:63" s="850" customFormat="1" ht="11.25" customHeight="1">
      <c r="D214" s="1504"/>
      <c r="E214" s="1214"/>
      <c r="F214" s="1214"/>
      <c r="G214" s="1202"/>
      <c r="H214" s="874"/>
      <c r="I214" s="878"/>
      <c r="J214" s="1205"/>
      <c r="K214" s="1205"/>
      <c r="L214" s="1205"/>
      <c r="M214" s="1205"/>
      <c r="N214" s="1205"/>
      <c r="O214" s="1205"/>
      <c r="P214" s="1205"/>
      <c r="Q214" s="1205"/>
      <c r="R214" s="1205"/>
      <c r="S214" s="1205"/>
      <c r="T214" s="1205"/>
      <c r="U214" s="1205"/>
      <c r="V214" s="1205"/>
      <c r="W214" s="1205"/>
      <c r="X214" s="1205"/>
      <c r="Y214" s="1205"/>
      <c r="Z214" s="1205"/>
      <c r="AA214" s="1205"/>
      <c r="AB214" s="1205"/>
      <c r="AC214" s="1205"/>
      <c r="AD214" s="1205"/>
      <c r="AE214" s="1205"/>
      <c r="AF214" s="1205"/>
      <c r="AG214" s="1205"/>
      <c r="AH214" s="1205"/>
      <c r="AI214" s="1206"/>
      <c r="BK214"/>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xr:uid="{00000000-0002-0000-3A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A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A00-000002000000}"/>
    <dataValidation type="list" allowBlank="1" showInputMessage="1" showErrorMessage="1" errorTitle="Ошибка" error="Выберите значение из списка" prompt="Выберите значение из списка" sqref="H110" xr:uid="{00000000-0002-0000-3A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A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A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A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A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A00-000008000000}">
      <formula1>kind_of_power_te_unit</formula1>
    </dataValidation>
    <dataValidation allowBlank="1" showInputMessage="1" showErrorMessage="1" prompt="Изменение значения по двойному щелчоку левой кнопки мыши" sqref="J56" xr:uid="{00000000-0002-0000-3A00-000009000000}"/>
    <dataValidation type="list" allowBlank="1" showInputMessage="1" showErrorMessage="1" sqref="I34" xr:uid="{00000000-0002-0000-3A00-00000A000000}">
      <formula1>DESCRIPTION_TERRITORY</formula1>
    </dataValidation>
    <dataValidation type="textLength" operator="lessThan" allowBlank="1" showInputMessage="1" showErrorMessage="1" error="Допускается ввод не более 900 символов!" sqref="M29 M23" xr:uid="{00000000-0002-0000-3A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A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xr:uid="{00000000-0002-0000-3A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A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A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A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A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A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A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CD101-26A9-9CEB-7839-4F85A5805C05}">
  <sheetPr>
    <tabColor rgb="FFFFCC99"/>
  </sheetPr>
  <dimension ref="A1:H34"/>
  <sheetViews>
    <sheetView showGridLines="0" workbookViewId="0"/>
  </sheetViews>
  <sheetFormatPr defaultColWidth="43.140625" defaultRowHeight="9" customHeight="1"/>
  <cols>
    <col min="1" max="1" width="43.140625" style="468"/>
    <col min="2" max="2" width="43.140625" style="468" hidden="1"/>
    <col min="3" max="3" width="43.140625" style="468"/>
    <col min="4" max="5" width="36.42578125" style="468" customWidth="1"/>
    <col min="6" max="8" width="36.42578125" style="558" customWidth="1"/>
  </cols>
  <sheetData>
    <row r="1" spans="1:8" ht="9" customHeight="1">
      <c r="A1" s="474" t="s">
        <v>1903</v>
      </c>
      <c r="B1" s="474"/>
      <c r="C1" s="559" t="s">
        <v>1904</v>
      </c>
      <c r="D1" s="557" t="s">
        <v>723</v>
      </c>
      <c r="E1" s="557" t="s">
        <v>771</v>
      </c>
      <c r="F1" s="557" t="s">
        <v>826</v>
      </c>
      <c r="G1" s="557" t="s">
        <v>812</v>
      </c>
      <c r="H1" s="557" t="s">
        <v>1584</v>
      </c>
    </row>
    <row r="2" spans="1:8" ht="9" customHeight="1">
      <c r="A2" s="560" t="s">
        <v>1905</v>
      </c>
      <c r="B2" s="560"/>
      <c r="C2" s="561" t="str">
        <f>INDEX(TEMPLATE_NUMBER_FORM_LIST,MATCH(TEMPLATE_SPHERE,TEMPLATE_SPHERE_LIST,0))</f>
        <v>16</v>
      </c>
      <c r="D2" s="560" t="s">
        <v>1436</v>
      </c>
      <c r="E2" s="560" t="s">
        <v>150</v>
      </c>
      <c r="F2" s="562" t="s">
        <v>150</v>
      </c>
      <c r="G2" s="560" t="s">
        <v>150</v>
      </c>
      <c r="H2" s="563"/>
    </row>
    <row r="3" spans="1:8" ht="63" customHeight="1">
      <c r="A3" s="474"/>
      <c r="B3" s="474" t="s">
        <v>105</v>
      </c>
      <c r="C3" s="56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561" t="s">
        <v>1906</v>
      </c>
      <c r="E3" s="56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562"/>
      <c r="G3" s="563"/>
      <c r="H3" s="474"/>
    </row>
    <row r="4" spans="1:8" ht="243" customHeight="1">
      <c r="A4" s="474" t="s">
        <v>1907</v>
      </c>
      <c r="B4" s="474" t="s">
        <v>106</v>
      </c>
      <c r="C4" s="56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560" t="s">
        <v>1908</v>
      </c>
      <c r="E4" s="56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560"/>
      <c r="G4" s="560"/>
      <c r="H4" s="474" t="s">
        <v>1909</v>
      </c>
    </row>
    <row r="5" spans="1:8" ht="117" customHeight="1">
      <c r="A5" s="474" t="s">
        <v>1910</v>
      </c>
      <c r="B5" s="474" t="s">
        <v>86</v>
      </c>
      <c r="C5" s="56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474" t="s">
        <v>1911</v>
      </c>
      <c r="E5" s="47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563"/>
      <c r="G5" s="563"/>
      <c r="H5" s="474" t="s">
        <v>1912</v>
      </c>
    </row>
    <row r="6" spans="1:8" ht="45" customHeight="1">
      <c r="A6" s="474" t="s">
        <v>1913</v>
      </c>
      <c r="B6" s="474" t="s">
        <v>87</v>
      </c>
      <c r="C6" s="56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474" t="s">
        <v>1914</v>
      </c>
      <c r="E6" s="47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474"/>
      <c r="G6" s="474"/>
      <c r="H6" s="563"/>
    </row>
    <row r="7" spans="1:8" ht="45" customHeight="1">
      <c r="A7" s="474" t="s">
        <v>1915</v>
      </c>
      <c r="B7" s="474" t="s">
        <v>107</v>
      </c>
      <c r="C7" s="561" t="str">
        <f>IF(TEMPLATE_SPHERE="HEAT",D7,E7)</f>
        <v>Форма 11. Информация о расходах на капитальный и текущий ремонт основных средств</v>
      </c>
      <c r="D7" s="474" t="s">
        <v>1916</v>
      </c>
      <c r="E7" s="474" t="s">
        <v>1917</v>
      </c>
      <c r="F7" s="563"/>
      <c r="G7" s="563"/>
      <c r="H7" s="563"/>
    </row>
    <row r="8" spans="1:8" ht="108" customHeight="1">
      <c r="A8" s="474" t="s">
        <v>1918</v>
      </c>
      <c r="B8" s="474" t="s">
        <v>88</v>
      </c>
      <c r="C8" s="56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474" t="s">
        <v>1131</v>
      </c>
      <c r="E8" s="474" t="s">
        <v>1919</v>
      </c>
      <c r="F8" s="563"/>
      <c r="G8" s="563"/>
      <c r="H8" s="563"/>
    </row>
    <row r="9" spans="1:8" ht="99" customHeight="1">
      <c r="A9" s="474" t="s">
        <v>1920</v>
      </c>
      <c r="B9" s="474"/>
      <c r="C9" s="474" t="s">
        <v>1921</v>
      </c>
      <c r="D9" s="474"/>
      <c r="E9" s="474"/>
      <c r="F9" s="563"/>
      <c r="G9" s="563"/>
      <c r="H9" s="563"/>
    </row>
    <row r="10" spans="1:8" ht="126" customHeight="1">
      <c r="A10" s="474" t="s">
        <v>1922</v>
      </c>
      <c r="B10" s="474"/>
      <c r="C10" s="474" t="s">
        <v>1923</v>
      </c>
      <c r="D10" s="474"/>
      <c r="E10" s="474"/>
      <c r="F10" s="563"/>
      <c r="G10" s="563"/>
      <c r="H10" s="563"/>
    </row>
    <row r="11" spans="1:8" ht="108" customHeight="1">
      <c r="A11" s="474" t="s">
        <v>1924</v>
      </c>
      <c r="B11" s="474"/>
      <c r="C11" s="474" t="s">
        <v>1925</v>
      </c>
      <c r="D11" s="474"/>
      <c r="E11" s="474"/>
      <c r="F11" s="563"/>
      <c r="G11" s="563"/>
      <c r="H11" s="563"/>
    </row>
    <row r="12" spans="1:8" ht="54" customHeight="1">
      <c r="A12" s="474" t="s">
        <v>1926</v>
      </c>
      <c r="B12" s="474"/>
      <c r="C12" s="474" t="s">
        <v>1927</v>
      </c>
      <c r="D12" s="474"/>
      <c r="E12" s="474"/>
      <c r="F12" s="563"/>
      <c r="G12" s="563"/>
      <c r="H12" s="563"/>
    </row>
    <row r="13" spans="1:8" ht="45" customHeight="1">
      <c r="A13" s="474" t="s">
        <v>1928</v>
      </c>
      <c r="B13" s="474"/>
      <c r="C13" s="474" t="s">
        <v>1929</v>
      </c>
      <c r="D13" s="474"/>
      <c r="E13" s="474"/>
      <c r="F13" s="563"/>
      <c r="G13" s="563"/>
      <c r="H13" s="563"/>
    </row>
    <row r="14" spans="1:8" ht="117" customHeight="1">
      <c r="A14" s="474" t="s">
        <v>1930</v>
      </c>
      <c r="B14" s="474"/>
      <c r="C14" s="474" t="s">
        <v>1931</v>
      </c>
      <c r="D14" s="474"/>
      <c r="E14" s="474"/>
      <c r="F14" s="563"/>
      <c r="G14" s="563"/>
      <c r="H14" s="563"/>
    </row>
    <row r="15" spans="1:8" ht="117" customHeight="1">
      <c r="A15" s="474" t="s">
        <v>1932</v>
      </c>
      <c r="B15" s="474"/>
      <c r="C15" s="474" t="s">
        <v>1933</v>
      </c>
      <c r="D15" s="474"/>
      <c r="E15" s="474"/>
      <c r="F15" s="563"/>
      <c r="G15" s="563"/>
      <c r="H15" s="563"/>
    </row>
    <row r="16" spans="1:8" ht="63" customHeight="1">
      <c r="A16" s="474" t="s">
        <v>1934</v>
      </c>
      <c r="B16" s="474"/>
      <c r="C16" s="474" t="s">
        <v>1935</v>
      </c>
      <c r="D16" s="474"/>
      <c r="E16" s="474"/>
      <c r="F16" s="563"/>
      <c r="G16" s="563"/>
      <c r="H16" s="563"/>
    </row>
    <row r="17" spans="1:8" ht="54" customHeight="1">
      <c r="A17" s="474" t="s">
        <v>1936</v>
      </c>
      <c r="B17" s="474"/>
      <c r="C17" s="561" t="s">
        <v>1937</v>
      </c>
      <c r="D17" s="474"/>
      <c r="E17" s="474"/>
      <c r="F17" s="563"/>
      <c r="G17" s="563"/>
      <c r="H17" s="563"/>
    </row>
    <row r="18" spans="1:8" ht="27" customHeight="1">
      <c r="A18" s="474" t="s">
        <v>1938</v>
      </c>
      <c r="B18" s="474"/>
      <c r="C18" s="561" t="s">
        <v>1939</v>
      </c>
      <c r="D18" s="474"/>
      <c r="E18" s="474"/>
      <c r="F18" s="563"/>
      <c r="G18" s="563"/>
      <c r="H18" s="563"/>
    </row>
    <row r="19" spans="1:8" ht="54" customHeight="1">
      <c r="A19" s="474" t="s">
        <v>1940</v>
      </c>
      <c r="B19" s="474"/>
      <c r="C19" s="561" t="s">
        <v>1941</v>
      </c>
      <c r="D19" s="474"/>
      <c r="E19" s="474"/>
      <c r="F19" s="563"/>
      <c r="G19" s="563"/>
      <c r="H19" s="563"/>
    </row>
    <row r="20" spans="1:8" ht="36" customHeight="1">
      <c r="A20" s="474" t="s">
        <v>1942</v>
      </c>
      <c r="B20" s="474"/>
      <c r="C20" s="561" t="s">
        <v>1943</v>
      </c>
      <c r="D20" s="474"/>
      <c r="E20" s="474"/>
      <c r="F20" s="563"/>
      <c r="G20" s="563"/>
      <c r="H20" s="563"/>
    </row>
    <row r="21" spans="1:8" ht="36" customHeight="1">
      <c r="A21" s="474" t="s">
        <v>1944</v>
      </c>
      <c r="B21" s="474"/>
      <c r="C21" s="561" t="s">
        <v>1945</v>
      </c>
      <c r="D21" s="474"/>
      <c r="E21" s="474"/>
      <c r="F21" s="563"/>
      <c r="G21" s="563"/>
      <c r="H21" s="563"/>
    </row>
    <row r="22" spans="1:8" ht="27" customHeight="1">
      <c r="A22" s="474" t="s">
        <v>1946</v>
      </c>
      <c r="B22" s="474"/>
      <c r="C22" s="561" t="s">
        <v>1947</v>
      </c>
      <c r="D22" s="474"/>
      <c r="E22" s="474"/>
      <c r="F22" s="563"/>
      <c r="G22" s="563"/>
      <c r="H22" s="563"/>
    </row>
    <row r="23" spans="1:8" ht="36" customHeight="1">
      <c r="A23" s="474" t="s">
        <v>1948</v>
      </c>
      <c r="B23" s="474"/>
      <c r="C23" s="561" t="s">
        <v>1949</v>
      </c>
      <c r="D23" s="474"/>
      <c r="E23" s="474"/>
      <c r="F23" s="563"/>
      <c r="G23" s="563"/>
      <c r="H23" s="563"/>
    </row>
    <row r="24" spans="1:8" ht="28.5" customHeight="1">
      <c r="A24" s="474" t="s">
        <v>1950</v>
      </c>
      <c r="B24" s="474"/>
      <c r="C24" s="561" t="s">
        <v>1951</v>
      </c>
      <c r="D24" s="474"/>
      <c r="E24" s="474"/>
      <c r="F24" s="563"/>
      <c r="G24" s="563"/>
      <c r="H24" s="563"/>
    </row>
    <row r="25" spans="1:8" ht="36" customHeight="1">
      <c r="A25" s="474" t="s">
        <v>1952</v>
      </c>
      <c r="B25" s="474"/>
      <c r="C25" s="561" t="s">
        <v>1953</v>
      </c>
      <c r="D25" s="474"/>
      <c r="E25" s="474"/>
      <c r="F25" s="563"/>
      <c r="G25" s="563"/>
      <c r="H25" s="563"/>
    </row>
    <row r="26" spans="1:8" ht="27" customHeight="1">
      <c r="A26" s="474" t="s">
        <v>1954</v>
      </c>
      <c r="B26" s="474"/>
      <c r="C26" s="561" t="s">
        <v>1955</v>
      </c>
      <c r="D26" s="474"/>
      <c r="E26" s="474"/>
      <c r="F26" s="563"/>
      <c r="G26" s="563"/>
      <c r="H26" s="563"/>
    </row>
    <row r="27" spans="1:8" ht="36" customHeight="1">
      <c r="A27" s="474" t="s">
        <v>1956</v>
      </c>
      <c r="B27" s="474"/>
      <c r="C27" s="561" t="s">
        <v>1957</v>
      </c>
      <c r="D27" s="474"/>
      <c r="E27" s="474"/>
      <c r="F27" s="563"/>
      <c r="G27" s="563"/>
      <c r="H27" s="563"/>
    </row>
    <row r="28" spans="1:8" ht="28.5" customHeight="1">
      <c r="A28" s="474" t="s">
        <v>1958</v>
      </c>
      <c r="B28" s="474"/>
      <c r="C28" s="561" t="s">
        <v>1959</v>
      </c>
      <c r="D28" s="474"/>
      <c r="E28" s="474"/>
      <c r="F28" s="563"/>
      <c r="G28" s="563"/>
      <c r="H28" s="563"/>
    </row>
    <row r="29" spans="1:8" ht="126" customHeight="1">
      <c r="A29" s="474" t="s">
        <v>1960</v>
      </c>
      <c r="B29" s="474" t="s">
        <v>1537</v>
      </c>
      <c r="C29" s="56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474" t="s">
        <v>1961</v>
      </c>
      <c r="E29" s="47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563"/>
      <c r="G29" s="563"/>
      <c r="H29" s="474" t="s">
        <v>1962</v>
      </c>
    </row>
    <row r="30" spans="1:8" ht="36" customHeight="1">
      <c r="A30" s="474" t="s">
        <v>1963</v>
      </c>
      <c r="B30" s="474"/>
      <c r="C30" s="56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474" t="s">
        <v>1964</v>
      </c>
      <c r="E30" s="47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563"/>
      <c r="G30" s="563"/>
      <c r="H30" s="563"/>
    </row>
    <row r="31" spans="1:8" ht="54" customHeight="1">
      <c r="A31" s="474" t="s">
        <v>1965</v>
      </c>
      <c r="B31" s="474"/>
      <c r="C31" s="56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474" t="s">
        <v>1966</v>
      </c>
      <c r="E31" s="47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563"/>
      <c r="G31" s="563"/>
      <c r="H31" s="563"/>
    </row>
    <row r="32" spans="1:8" ht="198" customHeight="1">
      <c r="A32" s="474" t="s">
        <v>1967</v>
      </c>
      <c r="B32" s="474"/>
      <c r="C32" s="56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474" t="s">
        <v>1968</v>
      </c>
      <c r="E32" s="47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563"/>
      <c r="G32" s="563"/>
      <c r="H32" s="474" t="s">
        <v>1969</v>
      </c>
    </row>
    <row r="33" spans="1:8" ht="9" customHeight="1">
      <c r="A33" s="474"/>
      <c r="B33" s="474"/>
      <c r="C33" s="561"/>
      <c r="D33" s="474"/>
      <c r="E33" s="474"/>
      <c r="F33" s="563"/>
      <c r="G33" s="563"/>
      <c r="H33" s="563"/>
    </row>
    <row r="34" spans="1:8" ht="9" customHeight="1">
      <c r="A34" s="474"/>
      <c r="B34" s="474" t="s">
        <v>1474</v>
      </c>
      <c r="C34" s="561">
        <f>INDEX(TEMPLATE_NAME_FORM_LIST,B34,MATCH(TEMPLATE_SPHERE,TEMPLATE_SPHERE_LIST,0))</f>
        <v>0</v>
      </c>
      <c r="D34" s="474"/>
      <c r="E34" s="474"/>
      <c r="F34" s="563"/>
      <c r="G34" s="563"/>
      <c r="H34" s="56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ADFC2-31AE-CD11-9882-DFA3F28263D7}">
  <sheetPr>
    <tabColor rgb="FFFFCC99"/>
  </sheetPr>
  <dimension ref="A1:AH154"/>
  <sheetViews>
    <sheetView showGridLines="0" workbookViewId="0"/>
  </sheetViews>
  <sheetFormatPr defaultColWidth="9.140625" defaultRowHeight="9" customHeight="1"/>
  <cols>
    <col min="1" max="2" width="9.140625" style="468"/>
    <col min="3" max="7" width="8" style="470" customWidth="1"/>
    <col min="8" max="12" width="8.5703125" style="470" customWidth="1"/>
    <col min="13" max="14" width="27.7109375" style="470" customWidth="1"/>
    <col min="15" max="19" width="5.140625" style="470" customWidth="1"/>
    <col min="20" max="24" width="27.7109375" style="470" customWidth="1"/>
    <col min="25" max="25" width="1.85546875" style="574" customWidth="1"/>
    <col min="26" max="26" width="27.7109375" style="468" customWidth="1"/>
    <col min="27" max="27" width="27.7109375" style="479" customWidth="1"/>
    <col min="28" max="29" width="27.7109375" style="468" customWidth="1"/>
    <col min="30" max="30" width="3.85546875" style="468" customWidth="1"/>
    <col min="31" max="34" width="9.140625" style="468"/>
  </cols>
  <sheetData>
    <row r="1" spans="1:34" s="467" customFormat="1" ht="18" customHeight="1">
      <c r="A1" s="511"/>
      <c r="B1" s="511"/>
      <c r="C1" s="511" t="s">
        <v>1970</v>
      </c>
      <c r="D1" s="511"/>
      <c r="E1" s="511"/>
      <c r="F1" s="511"/>
      <c r="G1" s="511"/>
      <c r="H1" s="511" t="s">
        <v>1971</v>
      </c>
      <c r="I1" s="511"/>
      <c r="J1" s="511"/>
      <c r="K1" s="511"/>
      <c r="L1" s="511"/>
      <c r="M1" s="511" t="s">
        <v>1972</v>
      </c>
      <c r="N1" s="511" t="s">
        <v>1973</v>
      </c>
      <c r="O1" s="1527" t="s">
        <v>1974</v>
      </c>
      <c r="P1" s="1527"/>
      <c r="Q1" s="1527"/>
      <c r="R1" s="1527"/>
      <c r="S1" s="1527"/>
      <c r="T1" s="1527" t="s">
        <v>1972</v>
      </c>
      <c r="U1" s="1527"/>
      <c r="V1" s="1527"/>
      <c r="W1" s="1527"/>
      <c r="X1" s="1527"/>
      <c r="Y1" s="572"/>
      <c r="Z1" s="1527" t="s">
        <v>1975</v>
      </c>
      <c r="AA1" s="1527"/>
      <c r="AB1" s="1527"/>
      <c r="AC1" s="1527"/>
      <c r="AD1" s="1527"/>
    </row>
    <row r="2" spans="1:34" ht="18" customHeight="1">
      <c r="A2" s="474"/>
      <c r="B2" s="474"/>
      <c r="C2" s="469" t="s">
        <v>723</v>
      </c>
      <c r="D2" s="469" t="s">
        <v>771</v>
      </c>
      <c r="E2" s="469" t="s">
        <v>826</v>
      </c>
      <c r="F2" s="469" t="s">
        <v>812</v>
      </c>
      <c r="G2" s="469" t="s">
        <v>1584</v>
      </c>
      <c r="H2" s="471"/>
      <c r="I2" s="471"/>
      <c r="J2" s="471"/>
      <c r="K2" s="471"/>
      <c r="L2" s="471"/>
      <c r="M2" s="471"/>
      <c r="N2" s="471"/>
      <c r="O2" s="469" t="s">
        <v>723</v>
      </c>
      <c r="P2" s="469" t="s">
        <v>771</v>
      </c>
      <c r="Q2" s="469" t="s">
        <v>812</v>
      </c>
      <c r="R2" s="469" t="s">
        <v>826</v>
      </c>
      <c r="S2" s="469" t="s">
        <v>1584</v>
      </c>
      <c r="T2" s="469" t="s">
        <v>723</v>
      </c>
      <c r="U2" s="469" t="s">
        <v>771</v>
      </c>
      <c r="V2" s="469" t="s">
        <v>812</v>
      </c>
      <c r="W2" s="469" t="s">
        <v>826</v>
      </c>
      <c r="X2" s="469" t="s">
        <v>1584</v>
      </c>
      <c r="Y2" s="469"/>
      <c r="Z2" s="469" t="s">
        <v>723</v>
      </c>
      <c r="AA2" s="478" t="s">
        <v>771</v>
      </c>
      <c r="AB2" s="469" t="s">
        <v>812</v>
      </c>
      <c r="AC2" s="469" t="s">
        <v>826</v>
      </c>
      <c r="AD2" s="469" t="s">
        <v>1584</v>
      </c>
    </row>
    <row r="3" spans="1:34" ht="162" customHeight="1">
      <c r="A3" s="473" t="s">
        <v>23</v>
      </c>
      <c r="B3" s="473"/>
      <c r="C3" s="1531" t="s">
        <v>1976</v>
      </c>
      <c r="D3" s="1532"/>
      <c r="E3" s="1532"/>
      <c r="F3" s="1533"/>
      <c r="G3" s="471"/>
      <c r="H3" s="471"/>
      <c r="I3" s="471"/>
      <c r="J3" s="471"/>
      <c r="K3" s="471"/>
      <c r="L3" s="471"/>
      <c r="M3" s="471"/>
      <c r="N3" s="47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471"/>
      <c r="P3" s="471"/>
      <c r="Q3" s="471"/>
      <c r="R3" s="471"/>
      <c r="S3" s="471"/>
      <c r="T3" s="471"/>
      <c r="U3" s="471"/>
      <c r="V3" s="471"/>
      <c r="W3" s="471"/>
      <c r="X3" s="471"/>
      <c r="Y3" s="573"/>
      <c r="Z3" s="474" t="s">
        <v>1977</v>
      </c>
      <c r="AA3" s="471" t="s">
        <v>1978</v>
      </c>
      <c r="AB3" s="474" t="s">
        <v>1979</v>
      </c>
      <c r="AC3" s="474" t="s">
        <v>1980</v>
      </c>
      <c r="AD3" s="474"/>
      <c r="AG3" s="474"/>
      <c r="AH3" s="474"/>
    </row>
    <row r="4" spans="1:34" ht="9" customHeight="1">
      <c r="A4" s="473"/>
      <c r="B4" s="473"/>
      <c r="C4" s="471"/>
      <c r="D4" s="471"/>
      <c r="E4" s="471"/>
      <c r="F4" s="471"/>
      <c r="G4" s="471"/>
      <c r="H4" s="471"/>
      <c r="I4" s="471"/>
      <c r="J4" s="471"/>
      <c r="K4" s="471"/>
      <c r="L4" s="471"/>
      <c r="M4" s="471"/>
      <c r="N4" s="471"/>
      <c r="O4" s="471"/>
      <c r="P4" s="471"/>
      <c r="Q4" s="471"/>
      <c r="R4" s="471"/>
      <c r="S4" s="471"/>
      <c r="T4" s="471"/>
      <c r="U4" s="471"/>
      <c r="V4" s="471"/>
      <c r="W4" s="471"/>
      <c r="X4" s="471"/>
      <c r="Y4" s="573"/>
      <c r="Z4" s="474"/>
      <c r="AA4" s="477"/>
      <c r="AB4" s="474"/>
      <c r="AC4" s="474"/>
      <c r="AD4" s="474"/>
    </row>
    <row r="5" spans="1:34" ht="9" customHeight="1">
      <c r="A5" s="473"/>
      <c r="B5" s="473"/>
      <c r="C5" s="471"/>
      <c r="D5" s="471"/>
      <c r="E5" s="471"/>
      <c r="F5" s="471"/>
      <c r="G5" s="471"/>
      <c r="H5" s="471"/>
      <c r="I5" s="471"/>
      <c r="J5" s="471"/>
      <c r="K5" s="471"/>
      <c r="L5" s="471"/>
      <c r="M5" s="471"/>
      <c r="N5" s="471"/>
      <c r="O5" s="471"/>
      <c r="P5" s="471"/>
      <c r="Q5" s="471"/>
      <c r="R5" s="471"/>
      <c r="S5" s="471"/>
      <c r="T5" s="471"/>
      <c r="U5" s="471"/>
      <c r="V5" s="471"/>
      <c r="W5" s="471"/>
      <c r="X5" s="471"/>
      <c r="Y5" s="573"/>
      <c r="Z5" s="474"/>
      <c r="AA5" s="477"/>
      <c r="AB5" s="474"/>
      <c r="AC5" s="474"/>
      <c r="AD5" s="474"/>
    </row>
    <row r="6" spans="1:34" ht="9" customHeight="1">
      <c r="A6" s="473"/>
      <c r="B6" s="473"/>
      <c r="C6" s="471"/>
      <c r="D6" s="471"/>
      <c r="E6" s="471"/>
      <c r="F6" s="471"/>
      <c r="G6" s="471"/>
      <c r="H6" s="471"/>
      <c r="I6" s="471"/>
      <c r="J6" s="471"/>
      <c r="K6" s="471"/>
      <c r="L6" s="471"/>
      <c r="M6" s="471"/>
      <c r="N6" s="471"/>
      <c r="O6" s="471"/>
      <c r="P6" s="471"/>
      <c r="Q6" s="471"/>
      <c r="R6" s="471"/>
      <c r="S6" s="471"/>
      <c r="T6" s="471"/>
      <c r="U6" s="471"/>
      <c r="V6" s="471"/>
      <c r="W6" s="471"/>
      <c r="X6" s="471"/>
      <c r="Y6" s="573"/>
      <c r="Z6" s="474"/>
      <c r="AA6" s="477"/>
      <c r="AB6" s="474"/>
      <c r="AC6" s="474"/>
      <c r="AD6" s="474"/>
    </row>
    <row r="7" spans="1:34" ht="9" customHeight="1">
      <c r="A7" s="473"/>
      <c r="B7" s="473"/>
      <c r="C7" s="471"/>
      <c r="D7" s="471"/>
      <c r="E7" s="471"/>
      <c r="F7" s="471"/>
      <c r="G7" s="471"/>
      <c r="H7" s="471"/>
      <c r="I7" s="471"/>
      <c r="J7" s="471"/>
      <c r="K7" s="471"/>
      <c r="L7" s="471"/>
      <c r="M7" s="471"/>
      <c r="N7" s="471"/>
      <c r="O7" s="471"/>
      <c r="P7" s="471"/>
      <c r="Q7" s="471"/>
      <c r="R7" s="471"/>
      <c r="S7" s="471"/>
      <c r="T7" s="471"/>
      <c r="U7" s="471"/>
      <c r="V7" s="471"/>
      <c r="W7" s="471"/>
      <c r="X7" s="471"/>
      <c r="Y7" s="573"/>
      <c r="Z7" s="474"/>
      <c r="AA7" s="477"/>
      <c r="AB7" s="474"/>
      <c r="AC7" s="474"/>
      <c r="AD7" s="474"/>
    </row>
    <row r="8" spans="1:34" ht="9" customHeight="1">
      <c r="A8" s="473"/>
      <c r="B8" s="473"/>
      <c r="C8" s="471"/>
      <c r="D8" s="471"/>
      <c r="E8" s="471"/>
      <c r="F8" s="471"/>
      <c r="G8" s="471"/>
      <c r="H8" s="471"/>
      <c r="I8" s="471"/>
      <c r="J8" s="471"/>
      <c r="K8" s="471"/>
      <c r="L8" s="471"/>
      <c r="M8" s="471"/>
      <c r="N8" s="471"/>
      <c r="O8" s="471"/>
      <c r="P8" s="471"/>
      <c r="Q8" s="471"/>
      <c r="R8" s="471"/>
      <c r="S8" s="471"/>
      <c r="T8" s="471"/>
      <c r="U8" s="471"/>
      <c r="V8" s="471"/>
      <c r="W8" s="471"/>
      <c r="X8" s="471"/>
      <c r="Y8" s="573"/>
      <c r="Z8" s="474"/>
      <c r="AA8" s="477"/>
      <c r="AB8" s="474"/>
      <c r="AC8" s="474"/>
      <c r="AD8" s="474"/>
    </row>
    <row r="9" spans="1:34" ht="9" customHeight="1">
      <c r="A9" s="473"/>
      <c r="B9" s="473"/>
      <c r="C9" s="471"/>
      <c r="D9" s="471"/>
      <c r="E9" s="471"/>
      <c r="F9" s="471"/>
      <c r="G9" s="471"/>
      <c r="H9" s="471"/>
      <c r="I9" s="471"/>
      <c r="J9" s="471"/>
      <c r="K9" s="471"/>
      <c r="L9" s="471"/>
      <c r="M9" s="471"/>
      <c r="N9" s="471"/>
      <c r="O9" s="471"/>
      <c r="P9" s="471"/>
      <c r="Q9" s="471"/>
      <c r="R9" s="471"/>
      <c r="S9" s="471"/>
      <c r="T9" s="471"/>
      <c r="U9" s="471"/>
      <c r="V9" s="471"/>
      <c r="W9" s="471"/>
      <c r="X9" s="471"/>
      <c r="Y9" s="573"/>
      <c r="Z9" s="474"/>
      <c r="AA9" s="477"/>
      <c r="AB9" s="474"/>
      <c r="AC9" s="474"/>
      <c r="AD9" s="474"/>
    </row>
    <row r="10" spans="1:34" ht="9" customHeight="1">
      <c r="A10" s="512"/>
      <c r="B10" s="512"/>
      <c r="C10" s="512"/>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row>
    <row r="11" spans="1:34" ht="45" customHeight="1">
      <c r="A11" s="1528" t="s">
        <v>29</v>
      </c>
      <c r="B11" s="512">
        <v>1</v>
      </c>
      <c r="C11" s="1534" t="s">
        <v>1524</v>
      </c>
      <c r="D11" s="1534" t="s">
        <v>1520</v>
      </c>
      <c r="E11" s="1534" t="s">
        <v>1617</v>
      </c>
      <c r="F11" s="1534" t="s">
        <v>1981</v>
      </c>
      <c r="G11" s="1534"/>
      <c r="H11" s="511" t="s">
        <v>1982</v>
      </c>
      <c r="I11" s="511"/>
      <c r="J11" s="511"/>
      <c r="K11" s="511"/>
      <c r="L11" s="511"/>
      <c r="M11" s="472" t="str">
        <f>IF(TEMPLATE_SPHERE="HEAT",T11,U11)</f>
        <v>Количество поданных заявок</v>
      </c>
      <c r="N11" s="472"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471"/>
      <c r="P11" s="471"/>
      <c r="Q11" s="471"/>
      <c r="R11" s="471"/>
      <c r="S11" s="471"/>
      <c r="T11" s="471" t="s">
        <v>1983</v>
      </c>
      <c r="U11" s="471" t="s">
        <v>1984</v>
      </c>
      <c r="V11" s="471"/>
      <c r="W11" s="471"/>
      <c r="X11" s="471"/>
      <c r="Y11" s="573"/>
      <c r="Z11" s="474" t="s">
        <v>1985</v>
      </c>
      <c r="AA11" s="47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474"/>
      <c r="AC11" s="474"/>
      <c r="AD11" s="474"/>
    </row>
    <row r="12" spans="1:34" ht="45" customHeight="1">
      <c r="A12" s="1528"/>
      <c r="B12" s="512">
        <v>2</v>
      </c>
      <c r="C12" s="1535"/>
      <c r="D12" s="1535"/>
      <c r="E12" s="1535"/>
      <c r="F12" s="1535"/>
      <c r="G12" s="1535"/>
      <c r="H12" s="511" t="s">
        <v>1986</v>
      </c>
      <c r="I12" s="511"/>
      <c r="J12" s="511"/>
      <c r="K12" s="511"/>
      <c r="L12" s="511"/>
      <c r="M12" s="472" t="str">
        <f>IF(TEMPLATE_SPHERE="HEAT",T12,U12)</f>
        <v>Количество рассмотренных заявок</v>
      </c>
      <c r="N12" s="472"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471"/>
      <c r="P12" s="471"/>
      <c r="Q12" s="471"/>
      <c r="R12" s="471"/>
      <c r="S12" s="471"/>
      <c r="T12" s="471" t="s">
        <v>1987</v>
      </c>
      <c r="U12" s="471" t="s">
        <v>1988</v>
      </c>
      <c r="V12" s="471"/>
      <c r="W12" s="471"/>
      <c r="X12" s="471"/>
      <c r="Y12" s="573"/>
      <c r="Z12" s="474" t="s">
        <v>1989</v>
      </c>
      <c r="AA12" s="47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474"/>
      <c r="AC12" s="474"/>
      <c r="AD12" s="474"/>
    </row>
    <row r="13" spans="1:34" ht="72" customHeight="1">
      <c r="A13" s="1528"/>
      <c r="B13" s="512">
        <v>3</v>
      </c>
      <c r="C13" s="1535"/>
      <c r="D13" s="1535"/>
      <c r="E13" s="1535"/>
      <c r="F13" s="1535"/>
      <c r="G13" s="1535"/>
      <c r="H13" s="1527" t="s">
        <v>1990</v>
      </c>
      <c r="I13" s="511"/>
      <c r="J13" s="511"/>
      <c r="K13" s="511"/>
      <c r="L13" s="511"/>
      <c r="M13" s="47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472" t="str">
        <f t="shared" si="0"/>
        <v>Указывается количество заявок с решением об отказе в течение отчетного квартала.</v>
      </c>
      <c r="O13" s="471"/>
      <c r="P13" s="472"/>
      <c r="Q13" s="472"/>
      <c r="R13" s="472"/>
      <c r="S13" s="471"/>
      <c r="T13" s="471" t="s">
        <v>1991</v>
      </c>
      <c r="U13" s="472" t="s">
        <v>1992</v>
      </c>
      <c r="V13" s="472"/>
      <c r="W13" s="472"/>
      <c r="X13" s="471"/>
      <c r="Y13" s="573"/>
      <c r="Z13" s="474" t="s">
        <v>1993</v>
      </c>
      <c r="AA13" s="47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474"/>
      <c r="AC13" s="474"/>
      <c r="AD13" s="474"/>
    </row>
    <row r="14" spans="1:34" ht="45" customHeight="1">
      <c r="A14" s="1528"/>
      <c r="B14" s="512">
        <v>4</v>
      </c>
      <c r="C14" s="1535"/>
      <c r="D14" s="1535"/>
      <c r="E14" s="1535"/>
      <c r="F14" s="1535"/>
      <c r="G14" s="1535"/>
      <c r="H14" s="1527"/>
      <c r="I14" s="514"/>
      <c r="J14" s="514"/>
      <c r="K14" s="514"/>
      <c r="L14" s="514"/>
      <c r="M14" s="475" t="str">
        <f>IF(TEMPLATE_SPHERE="HEAT",T14,U14)</f>
        <v>Причины отказа в заключении договора о подключении (технологическом присоединении) к системе теплоснабжения</v>
      </c>
      <c r="N14" s="47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1"/>
      <c r="P14" s="472"/>
      <c r="Q14" s="472"/>
      <c r="R14" s="472"/>
      <c r="S14" s="471"/>
      <c r="T14" s="471" t="s">
        <v>1994</v>
      </c>
      <c r="U14" s="47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472"/>
      <c r="W14" s="472"/>
      <c r="X14" s="471"/>
      <c r="Y14" s="573"/>
      <c r="Z14" s="474" t="s">
        <v>1995</v>
      </c>
      <c r="AA14" s="477" t="s">
        <v>1995</v>
      </c>
      <c r="AB14" s="474"/>
      <c r="AC14" s="474"/>
      <c r="AD14" s="474"/>
    </row>
    <row r="15" spans="1:34" ht="108" customHeight="1">
      <c r="A15" s="1528"/>
      <c r="B15" s="512">
        <v>5</v>
      </c>
      <c r="C15" s="1535"/>
      <c r="D15" s="1535"/>
      <c r="E15" s="1535"/>
      <c r="F15" s="1535"/>
      <c r="G15" s="1535"/>
      <c r="H15" s="1529" t="s">
        <v>1996</v>
      </c>
      <c r="I15" s="513"/>
      <c r="J15" s="513"/>
      <c r="K15" s="513"/>
      <c r="L15" s="513"/>
      <c r="M15" s="477" t="str">
        <f>IF(TEMPLATE_SPHERE="HEAT",T15,U15)</f>
        <v>Резерв мощности источников тепловой энергии, входящих в систему теплоснабжения, в течение одного квартала, в том числе:</v>
      </c>
      <c r="N15" s="47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471"/>
      <c r="P15" s="472"/>
      <c r="Q15" s="472"/>
      <c r="R15" s="472"/>
      <c r="S15" s="471"/>
      <c r="T15" s="471" t="s">
        <v>1997</v>
      </c>
      <c r="U15" s="47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472"/>
      <c r="W15" s="472"/>
      <c r="X15" s="471"/>
      <c r="Y15" s="573"/>
      <c r="Z15" s="474" t="s">
        <v>1998</v>
      </c>
      <c r="AA15" s="47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474"/>
      <c r="AC15" s="474"/>
      <c r="AD15" s="474"/>
    </row>
    <row r="16" spans="1:34" ht="108" customHeight="1">
      <c r="A16" s="512"/>
      <c r="B16" s="512">
        <v>6</v>
      </c>
      <c r="C16" s="1536"/>
      <c r="D16" s="1536"/>
      <c r="E16" s="1536"/>
      <c r="F16" s="1536"/>
      <c r="G16" s="1536"/>
      <c r="H16" s="1530"/>
      <c r="I16" s="542"/>
      <c r="J16" s="542"/>
      <c r="K16" s="542"/>
      <c r="L16" s="542"/>
      <c r="M16" s="508"/>
      <c r="N16" s="47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471"/>
      <c r="P16" s="472"/>
      <c r="Q16" s="472"/>
      <c r="R16" s="472"/>
      <c r="S16" s="471"/>
      <c r="T16" s="471"/>
      <c r="U16" s="472"/>
      <c r="V16" s="472"/>
      <c r="W16" s="472"/>
      <c r="X16" s="471"/>
      <c r="Y16" s="573"/>
      <c r="Z16" s="474" t="s">
        <v>1998</v>
      </c>
      <c r="AA16" s="47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474"/>
      <c r="AC16" s="474"/>
      <c r="AD16" s="474"/>
    </row>
    <row r="17" spans="1:30" ht="9" customHeight="1">
      <c r="A17" s="512"/>
      <c r="B17" s="512"/>
      <c r="C17" s="512">
        <v>22</v>
      </c>
      <c r="D17" s="512">
        <v>21</v>
      </c>
      <c r="E17" s="512">
        <v>42</v>
      </c>
      <c r="F17" s="512">
        <v>63</v>
      </c>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row>
    <row r="18" spans="1:30" ht="27" customHeight="1">
      <c r="A18" s="473" t="s">
        <v>1620</v>
      </c>
      <c r="B18" s="512">
        <v>1</v>
      </c>
      <c r="C18" s="471" t="s">
        <v>1982</v>
      </c>
      <c r="D18" s="547" t="s">
        <v>1982</v>
      </c>
      <c r="E18" s="471" t="s">
        <v>1982</v>
      </c>
      <c r="F18" s="471" t="s">
        <v>1982</v>
      </c>
      <c r="G18" s="471"/>
      <c r="H18" s="575"/>
      <c r="I18" s="576">
        <f t="shared" ref="I18:I49" si="1">INDEX(TEMPLATE_NUMBER_POINT_FHD,B18,MATCH(TEMPLATE_SPHERE,TEMPLATE_SPHERE_LIST_FOR_NOTE,0))</f>
        <v>1</v>
      </c>
      <c r="J18" s="576" t="str">
        <f t="shared" ref="J18:J49" si="2">INDEX(TEMPLATE_DATA_POINT_FHD,B18,MATCH(TEMPLATE_SPHERE,TEMPLATE_SPHERE_LIST_FOR_NOTE,0))</f>
        <v>Выручка от регулируемого вида деятельности с распределением по видам деятельности</v>
      </c>
      <c r="K18" s="57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472">
        <f t="shared" ref="L18:L49" si="4">IF(I18=0,"",I18)</f>
        <v>1</v>
      </c>
      <c r="M18" s="472" t="str">
        <f t="shared" ref="M18:M49" si="5">IF(J18=0,"",J18)</f>
        <v>Выручка от регулируемого вида деятельности с распределением по видам деятельности</v>
      </c>
      <c r="N18" s="472" t="str">
        <f t="shared" ref="N18:N49" si="6">IF(K18=0,"",K18)</f>
        <v>Указывается выручка от регулируемого вида деятельности с распределением по видам деятельности.</v>
      </c>
      <c r="O18" s="537">
        <v>1</v>
      </c>
      <c r="P18" s="537">
        <v>1</v>
      </c>
      <c r="Q18" s="537">
        <v>1</v>
      </c>
      <c r="R18" s="537">
        <v>1</v>
      </c>
      <c r="S18" s="537"/>
      <c r="T18" s="544" t="s">
        <v>1999</v>
      </c>
      <c r="U18" s="474" t="s">
        <v>2000</v>
      </c>
      <c r="V18" s="474" t="s">
        <v>2001</v>
      </c>
      <c r="W18" s="474" t="s">
        <v>2002</v>
      </c>
      <c r="X18" s="471"/>
      <c r="Y18" s="573"/>
      <c r="Z18" s="474" t="s">
        <v>2003</v>
      </c>
      <c r="AA18" s="477" t="s">
        <v>2004</v>
      </c>
      <c r="AB18" s="477" t="s">
        <v>2004</v>
      </c>
      <c r="AC18" s="477" t="s">
        <v>2004</v>
      </c>
      <c r="AD18" s="474"/>
    </row>
    <row r="19" spans="1:30" ht="36" customHeight="1">
      <c r="A19" s="473"/>
      <c r="B19" s="512">
        <v>2</v>
      </c>
      <c r="C19" s="471" t="s">
        <v>1986</v>
      </c>
      <c r="D19" s="547" t="s">
        <v>1986</v>
      </c>
      <c r="E19" s="471" t="s">
        <v>1986</v>
      </c>
      <c r="F19" s="471" t="s">
        <v>1986</v>
      </c>
      <c r="G19" s="471"/>
      <c r="H19" s="575"/>
      <c r="I19" s="576">
        <f t="shared" si="1"/>
        <v>2</v>
      </c>
      <c r="J19" s="576" t="str">
        <f t="shared" si="2"/>
        <v>Себестоимость производимых товаров (оказываемых услуг) по регулируемому виду деятельности, включая:</v>
      </c>
      <c r="K19" s="576" t="str">
        <f t="shared" si="3"/>
        <v>Указывается суммарная себестоимость производимых товаров.</v>
      </c>
      <c r="L19" s="472">
        <f t="shared" si="4"/>
        <v>2</v>
      </c>
      <c r="M19" s="472" t="str">
        <f t="shared" si="5"/>
        <v>Себестоимость производимых товаров (оказываемых услуг) по регулируемому виду деятельности, включая:</v>
      </c>
      <c r="N19" s="472" t="str">
        <f t="shared" si="6"/>
        <v>Указывается суммарная себестоимость производимых товаров.</v>
      </c>
      <c r="O19" s="537">
        <v>2</v>
      </c>
      <c r="P19" s="537">
        <v>2</v>
      </c>
      <c r="Q19" s="537">
        <v>2</v>
      </c>
      <c r="R19" s="537">
        <v>2</v>
      </c>
      <c r="S19" s="537"/>
      <c r="T19" s="544" t="s">
        <v>2005</v>
      </c>
      <c r="U19" s="474" t="s">
        <v>2006</v>
      </c>
      <c r="V19" s="474" t="s">
        <v>2007</v>
      </c>
      <c r="W19" s="474" t="s">
        <v>2008</v>
      </c>
      <c r="X19" s="471"/>
      <c r="Y19" s="573"/>
      <c r="Z19" s="474" t="s">
        <v>2009</v>
      </c>
      <c r="AA19" s="477" t="s">
        <v>2009</v>
      </c>
      <c r="AB19" s="477" t="s">
        <v>2009</v>
      </c>
      <c r="AC19" s="477" t="s">
        <v>2009</v>
      </c>
      <c r="AD19" s="474"/>
    </row>
    <row r="20" spans="1:30" ht="27" customHeight="1">
      <c r="A20" s="473"/>
      <c r="B20" s="512">
        <v>3</v>
      </c>
      <c r="C20" s="471">
        <v>1</v>
      </c>
      <c r="D20" s="547"/>
      <c r="E20" s="471"/>
      <c r="F20" s="471"/>
      <c r="G20" s="471"/>
      <c r="H20" s="575"/>
      <c r="I20" s="576" t="str">
        <f t="shared" si="1"/>
        <v>2.1</v>
      </c>
      <c r="J20" s="576" t="str">
        <f t="shared" si="2"/>
        <v>Расходы на приобретаемую тепловую энергию (мощность), теплоноситель</v>
      </c>
      <c r="K20" s="576">
        <f t="shared" si="3"/>
        <v>0</v>
      </c>
      <c r="L20" s="472" t="str">
        <f t="shared" si="4"/>
        <v>2.1</v>
      </c>
      <c r="M20" s="472" t="str">
        <f t="shared" si="5"/>
        <v>Расходы на приобретаемую тепловую энергию (мощность), теплоноситель</v>
      </c>
      <c r="N20" s="472" t="str">
        <f t="shared" si="6"/>
        <v/>
      </c>
      <c r="O20" s="537" t="s">
        <v>623</v>
      </c>
      <c r="P20" s="537" t="s">
        <v>623</v>
      </c>
      <c r="Q20" s="537" t="s">
        <v>623</v>
      </c>
      <c r="R20" s="537" t="s">
        <v>623</v>
      </c>
      <c r="S20" s="537"/>
      <c r="T20" s="544" t="s">
        <v>2010</v>
      </c>
      <c r="U20" s="474" t="s">
        <v>2011</v>
      </c>
      <c r="V20" s="474" t="s">
        <v>2012</v>
      </c>
      <c r="W20" s="474" t="s">
        <v>2013</v>
      </c>
      <c r="X20" s="471"/>
      <c r="Y20" s="573"/>
      <c r="Z20" s="474"/>
      <c r="AA20" s="477"/>
      <c r="AB20" s="474"/>
      <c r="AC20" s="474"/>
      <c r="AD20" s="474"/>
    </row>
    <row r="21" spans="1:30" ht="36" customHeight="1">
      <c r="A21" s="473"/>
      <c r="B21" s="512">
        <v>4</v>
      </c>
      <c r="C21" s="471">
        <v>2</v>
      </c>
      <c r="D21" s="547"/>
      <c r="E21" s="471"/>
      <c r="F21" s="471"/>
      <c r="G21" s="471"/>
      <c r="H21" s="575"/>
      <c r="I21" s="576" t="str">
        <f t="shared" si="1"/>
        <v>2.2</v>
      </c>
      <c r="J21" s="57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576" t="str">
        <f t="shared" si="3"/>
        <v>Указываются суммарные расходы на приобретение топлива всех видов.</v>
      </c>
      <c r="L21" s="472" t="str">
        <f t="shared" si="4"/>
        <v>2.2</v>
      </c>
      <c r="M21" s="472"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472" t="str">
        <f t="shared" si="6"/>
        <v>Указываются суммарные расходы на приобретение топлива всех видов.</v>
      </c>
      <c r="O21" s="537" t="s">
        <v>306</v>
      </c>
      <c r="P21" s="537"/>
      <c r="Q21" s="537"/>
      <c r="R21" s="537"/>
      <c r="S21" s="537"/>
      <c r="T21" s="544" t="s">
        <v>2014</v>
      </c>
      <c r="U21" s="474"/>
      <c r="V21" s="474"/>
      <c r="W21" s="474"/>
      <c r="X21" s="471"/>
      <c r="Y21" s="573"/>
      <c r="Z21" s="474" t="s">
        <v>2015</v>
      </c>
      <c r="AA21" s="477"/>
      <c r="AB21" s="474"/>
      <c r="AC21" s="474"/>
      <c r="AD21" s="474"/>
    </row>
    <row r="22" spans="1:30" ht="36" customHeight="1">
      <c r="A22" s="473"/>
      <c r="B22" s="512">
        <v>5</v>
      </c>
      <c r="C22" s="471">
        <v>3</v>
      </c>
      <c r="D22" s="547"/>
      <c r="E22" s="471"/>
      <c r="F22" s="471"/>
      <c r="G22" s="507"/>
      <c r="H22" s="538"/>
      <c r="I22" s="576">
        <f t="shared" si="1"/>
        <v>0</v>
      </c>
      <c r="J22" s="576">
        <f t="shared" si="2"/>
        <v>0</v>
      </c>
      <c r="K22" s="576">
        <f t="shared" si="3"/>
        <v>0</v>
      </c>
      <c r="L22" s="472" t="str">
        <f t="shared" si="4"/>
        <v/>
      </c>
      <c r="M22" s="472" t="str">
        <f t="shared" si="5"/>
        <v/>
      </c>
      <c r="N22" s="472" t="str">
        <f t="shared" si="6"/>
        <v/>
      </c>
      <c r="O22" s="537"/>
      <c r="P22" s="537"/>
      <c r="Q22" s="537" t="s">
        <v>306</v>
      </c>
      <c r="R22" s="537"/>
      <c r="S22" s="537"/>
      <c r="T22" s="544"/>
      <c r="U22" s="474"/>
      <c r="V22" s="474" t="s">
        <v>2016</v>
      </c>
      <c r="W22" s="474"/>
      <c r="X22" s="471"/>
      <c r="Y22" s="573"/>
      <c r="Z22" s="474"/>
      <c r="AA22" s="477"/>
      <c r="AB22" s="474"/>
      <c r="AC22" s="474"/>
      <c r="AD22" s="474"/>
    </row>
    <row r="23" spans="1:30" ht="27" customHeight="1">
      <c r="A23" s="473"/>
      <c r="B23" s="512">
        <v>6</v>
      </c>
      <c r="C23" s="471">
        <v>4</v>
      </c>
      <c r="D23" s="547"/>
      <c r="E23" s="471"/>
      <c r="F23" s="471"/>
      <c r="G23" s="507"/>
      <c r="H23" s="538"/>
      <c r="I23" s="576">
        <f t="shared" si="1"/>
        <v>0</v>
      </c>
      <c r="J23" s="576">
        <f t="shared" si="2"/>
        <v>0</v>
      </c>
      <c r="K23" s="576">
        <f t="shared" si="3"/>
        <v>0</v>
      </c>
      <c r="L23" s="472" t="str">
        <f t="shared" si="4"/>
        <v/>
      </c>
      <c r="M23" s="472" t="str">
        <f t="shared" si="5"/>
        <v/>
      </c>
      <c r="N23" s="472" t="str">
        <f t="shared" si="6"/>
        <v/>
      </c>
      <c r="O23" s="537"/>
      <c r="P23" s="537"/>
      <c r="Q23" s="537" t="s">
        <v>309</v>
      </c>
      <c r="R23" s="537"/>
      <c r="S23" s="537"/>
      <c r="T23" s="544"/>
      <c r="U23" s="474"/>
      <c r="V23" s="474" t="s">
        <v>2017</v>
      </c>
      <c r="W23" s="474"/>
      <c r="X23" s="471"/>
      <c r="Y23" s="573"/>
      <c r="Z23" s="474"/>
      <c r="AA23" s="477"/>
      <c r="AB23" s="474"/>
      <c r="AC23" s="474"/>
      <c r="AD23" s="474"/>
    </row>
    <row r="24" spans="1:30" ht="36" customHeight="1">
      <c r="A24" s="473"/>
      <c r="B24" s="512">
        <v>7</v>
      </c>
      <c r="C24" s="471">
        <v>5</v>
      </c>
      <c r="D24" s="547"/>
      <c r="E24" s="471"/>
      <c r="F24" s="471"/>
      <c r="G24" s="507"/>
      <c r="H24" s="538"/>
      <c r="I24" s="576">
        <f t="shared" si="1"/>
        <v>0</v>
      </c>
      <c r="J24" s="576">
        <f t="shared" si="2"/>
        <v>0</v>
      </c>
      <c r="K24" s="576">
        <f t="shared" si="3"/>
        <v>0</v>
      </c>
      <c r="L24" s="472" t="str">
        <f t="shared" si="4"/>
        <v/>
      </c>
      <c r="M24" s="472" t="str">
        <f t="shared" si="5"/>
        <v/>
      </c>
      <c r="N24" s="472" t="str">
        <f t="shared" si="6"/>
        <v/>
      </c>
      <c r="O24" s="537"/>
      <c r="P24" s="537"/>
      <c r="Q24" s="537" t="s">
        <v>643</v>
      </c>
      <c r="R24" s="537"/>
      <c r="S24" s="537"/>
      <c r="T24" s="544"/>
      <c r="U24" s="474"/>
      <c r="V24" s="474" t="s">
        <v>2018</v>
      </c>
      <c r="W24" s="474"/>
      <c r="X24" s="471"/>
      <c r="Y24" s="573"/>
      <c r="Z24" s="474"/>
      <c r="AA24" s="477"/>
      <c r="AB24" s="474"/>
      <c r="AC24" s="474"/>
      <c r="AD24" s="474"/>
    </row>
    <row r="25" spans="1:30" ht="36" customHeight="1">
      <c r="A25" s="473"/>
      <c r="B25" s="512">
        <v>8</v>
      </c>
      <c r="C25" s="471">
        <v>6</v>
      </c>
      <c r="D25" s="547"/>
      <c r="E25" s="471"/>
      <c r="F25" s="471"/>
      <c r="G25" s="507"/>
      <c r="H25" s="538"/>
      <c r="I25" s="576" t="str">
        <f t="shared" si="1"/>
        <v>2.3</v>
      </c>
      <c r="J25" s="576" t="str">
        <f t="shared" si="2"/>
        <v>Расходы на приобретаемую электрическую энергию (мощность), используемую в технологическом процессе</v>
      </c>
      <c r="K25" s="576">
        <f t="shared" si="3"/>
        <v>0</v>
      </c>
      <c r="L25" s="472" t="str">
        <f t="shared" si="4"/>
        <v>2.3</v>
      </c>
      <c r="M25" s="472" t="str">
        <f t="shared" si="5"/>
        <v>Расходы на приобретаемую электрическую энергию (мощность), используемую в технологическом процессе</v>
      </c>
      <c r="N25" s="472" t="str">
        <f t="shared" si="6"/>
        <v/>
      </c>
      <c r="O25" s="537" t="s">
        <v>309</v>
      </c>
      <c r="P25" s="537" t="s">
        <v>306</v>
      </c>
      <c r="Q25" s="537" t="s">
        <v>650</v>
      </c>
      <c r="R25" s="537" t="s">
        <v>306</v>
      </c>
      <c r="S25" s="537"/>
      <c r="T25" s="544" t="s">
        <v>2019</v>
      </c>
      <c r="U25" s="474" t="s">
        <v>2019</v>
      </c>
      <c r="V25" s="474" t="s">
        <v>2019</v>
      </c>
      <c r="W25" s="474" t="s">
        <v>2019</v>
      </c>
      <c r="X25" s="471"/>
      <c r="Y25" s="573"/>
      <c r="Z25" s="474"/>
      <c r="AA25" s="477"/>
      <c r="AB25" s="474"/>
      <c r="AC25" s="474"/>
      <c r="AD25" s="474"/>
    </row>
    <row r="26" spans="1:30" ht="18" customHeight="1">
      <c r="A26" s="473"/>
      <c r="B26" s="512">
        <v>9</v>
      </c>
      <c r="C26" s="471" t="s">
        <v>824</v>
      </c>
      <c r="D26" s="547"/>
      <c r="E26" s="471"/>
      <c r="F26" s="471"/>
      <c r="G26" s="507"/>
      <c r="H26" s="538"/>
      <c r="I26" s="576" t="str">
        <f t="shared" si="1"/>
        <v>2.3.1</v>
      </c>
      <c r="J26" s="576" t="str">
        <f t="shared" si="2"/>
        <v>Средневзвешенная стоимость 1 кВт.ч (с учетом мощности)</v>
      </c>
      <c r="K26" s="576">
        <f t="shared" si="3"/>
        <v>0</v>
      </c>
      <c r="L26" s="472" t="str">
        <f t="shared" si="4"/>
        <v>2.3.1</v>
      </c>
      <c r="M26" s="472" t="str">
        <f t="shared" si="5"/>
        <v>Средневзвешенная стоимость 1 кВт.ч (с учетом мощности)</v>
      </c>
      <c r="N26" s="472" t="str">
        <f t="shared" si="6"/>
        <v/>
      </c>
      <c r="O26" s="537" t="s">
        <v>639</v>
      </c>
      <c r="P26" s="537" t="s">
        <v>633</v>
      </c>
      <c r="Q26" s="537" t="s">
        <v>2020</v>
      </c>
      <c r="R26" s="537" t="s">
        <v>633</v>
      </c>
      <c r="S26" s="537"/>
      <c r="T26" s="544" t="s">
        <v>2021</v>
      </c>
      <c r="U26" s="544" t="s">
        <v>2021</v>
      </c>
      <c r="V26" s="544" t="s">
        <v>2021</v>
      </c>
      <c r="W26" s="544" t="s">
        <v>2021</v>
      </c>
      <c r="X26" s="471"/>
      <c r="Y26" s="573"/>
      <c r="Z26" s="474"/>
      <c r="AA26" s="477"/>
      <c r="AB26" s="474"/>
      <c r="AC26" s="474"/>
      <c r="AD26" s="474"/>
    </row>
    <row r="27" spans="1:30" ht="18" customHeight="1">
      <c r="A27" s="473"/>
      <c r="B27" s="512">
        <v>10</v>
      </c>
      <c r="C27" s="471" t="s">
        <v>2022</v>
      </c>
      <c r="D27" s="547"/>
      <c r="E27" s="471"/>
      <c r="F27" s="471"/>
      <c r="G27" s="507"/>
      <c r="H27" s="538"/>
      <c r="I27" s="576" t="str">
        <f t="shared" si="1"/>
        <v>2.3.2</v>
      </c>
      <c r="J27" s="576" t="str">
        <f t="shared" si="2"/>
        <v>Объём приобретения электрической энергии</v>
      </c>
      <c r="K27" s="576">
        <f t="shared" si="3"/>
        <v>0</v>
      </c>
      <c r="L27" s="472" t="str">
        <f t="shared" si="4"/>
        <v>2.3.2</v>
      </c>
      <c r="M27" s="472" t="str">
        <f t="shared" si="5"/>
        <v>Объём приобретения электрической энергии</v>
      </c>
      <c r="N27" s="472" t="str">
        <f t="shared" si="6"/>
        <v/>
      </c>
      <c r="O27" s="537" t="s">
        <v>641</v>
      </c>
      <c r="P27" s="537" t="s">
        <v>635</v>
      </c>
      <c r="Q27" s="537" t="s">
        <v>2023</v>
      </c>
      <c r="R27" s="537" t="s">
        <v>635</v>
      </c>
      <c r="S27" s="537"/>
      <c r="T27" s="544" t="s">
        <v>2024</v>
      </c>
      <c r="U27" s="544" t="s">
        <v>2024</v>
      </c>
      <c r="V27" s="544" t="s">
        <v>2024</v>
      </c>
      <c r="W27" s="544" t="s">
        <v>2024</v>
      </c>
      <c r="X27" s="471"/>
      <c r="Y27" s="573"/>
      <c r="Z27" s="474"/>
      <c r="AA27" s="477"/>
      <c r="AB27" s="474"/>
      <c r="AC27" s="474"/>
      <c r="AD27" s="474"/>
    </row>
    <row r="28" spans="1:30" ht="27" customHeight="1">
      <c r="A28" s="473"/>
      <c r="B28" s="512">
        <v>11</v>
      </c>
      <c r="C28" s="471">
        <v>7</v>
      </c>
      <c r="D28" s="547"/>
      <c r="E28" s="471"/>
      <c r="F28" s="471"/>
      <c r="G28" s="507"/>
      <c r="H28" s="538"/>
      <c r="I28" s="576" t="str">
        <f t="shared" si="1"/>
        <v>2.4</v>
      </c>
      <c r="J28" s="576" t="str">
        <f t="shared" si="2"/>
        <v>Расходы на приобретение холодной воды, используемой в технологическом процессе</v>
      </c>
      <c r="K28" s="576">
        <f t="shared" si="3"/>
        <v>0</v>
      </c>
      <c r="L28" s="472" t="str">
        <f t="shared" si="4"/>
        <v>2.4</v>
      </c>
      <c r="M28" s="472" t="str">
        <f t="shared" si="5"/>
        <v>Расходы на приобретение холодной воды, используемой в технологическом процессе</v>
      </c>
      <c r="N28" s="472" t="str">
        <f t="shared" si="6"/>
        <v/>
      </c>
      <c r="O28" s="537" t="s">
        <v>643</v>
      </c>
      <c r="P28" s="537"/>
      <c r="Q28" s="537"/>
      <c r="R28" s="537"/>
      <c r="S28" s="537"/>
      <c r="T28" s="544" t="s">
        <v>2025</v>
      </c>
      <c r="U28" s="474"/>
      <c r="V28" s="474"/>
      <c r="W28" s="474"/>
      <c r="X28" s="471"/>
      <c r="Y28" s="573"/>
      <c r="Z28" s="474"/>
      <c r="AA28" s="477"/>
      <c r="AB28" s="474"/>
      <c r="AC28" s="474"/>
      <c r="AD28" s="474"/>
    </row>
    <row r="29" spans="1:30" ht="27" customHeight="1">
      <c r="A29" s="473"/>
      <c r="B29" s="512">
        <v>12</v>
      </c>
      <c r="C29" s="471">
        <v>8</v>
      </c>
      <c r="D29" s="547"/>
      <c r="E29" s="471"/>
      <c r="F29" s="471"/>
      <c r="G29" s="507"/>
      <c r="H29" s="538"/>
      <c r="I29" s="576" t="str">
        <f t="shared" si="1"/>
        <v>2.5</v>
      </c>
      <c r="J29" s="576" t="str">
        <f t="shared" si="2"/>
        <v>Расходы на химические реагенты, используемые в технологическом процессе</v>
      </c>
      <c r="K29" s="576">
        <f t="shared" si="3"/>
        <v>0</v>
      </c>
      <c r="L29" s="472" t="str">
        <f t="shared" si="4"/>
        <v>2.5</v>
      </c>
      <c r="M29" s="472" t="str">
        <f t="shared" si="5"/>
        <v>Расходы на химические реагенты, используемые в технологическом процессе</v>
      </c>
      <c r="N29" s="472" t="str">
        <f t="shared" si="6"/>
        <v/>
      </c>
      <c r="O29" s="537" t="s">
        <v>650</v>
      </c>
      <c r="P29" s="537" t="s">
        <v>309</v>
      </c>
      <c r="Q29" s="537"/>
      <c r="R29" s="537" t="s">
        <v>309</v>
      </c>
      <c r="S29" s="537"/>
      <c r="T29" s="544" t="s">
        <v>2026</v>
      </c>
      <c r="U29" s="474" t="s">
        <v>2026</v>
      </c>
      <c r="V29" s="474"/>
      <c r="W29" s="474" t="s">
        <v>2026</v>
      </c>
      <c r="X29" s="471"/>
      <c r="Y29" s="573"/>
      <c r="Z29" s="474"/>
      <c r="AA29" s="477"/>
      <c r="AB29" s="474"/>
      <c r="AC29" s="474"/>
      <c r="AD29" s="474"/>
    </row>
    <row r="30" spans="1:30" ht="54" customHeight="1">
      <c r="A30" s="473"/>
      <c r="B30" s="512">
        <v>13</v>
      </c>
      <c r="C30" s="471">
        <v>9</v>
      </c>
      <c r="D30" s="547"/>
      <c r="E30" s="471"/>
      <c r="F30" s="471"/>
      <c r="G30" s="507"/>
      <c r="H30" s="538"/>
      <c r="I30" s="576" t="str">
        <f t="shared" si="1"/>
        <v>2.6</v>
      </c>
      <c r="J30" s="57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76">
        <f t="shared" si="3"/>
        <v>0</v>
      </c>
      <c r="L30" s="472" t="str">
        <f t="shared" si="4"/>
        <v>2.6</v>
      </c>
      <c r="M30" s="47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72" t="str">
        <f t="shared" si="6"/>
        <v/>
      </c>
      <c r="O30" s="537" t="s">
        <v>652</v>
      </c>
      <c r="P30" s="537" t="s">
        <v>643</v>
      </c>
      <c r="Q30" s="537" t="s">
        <v>652</v>
      </c>
      <c r="R30" s="537" t="s">
        <v>643</v>
      </c>
      <c r="S30" s="537"/>
      <c r="T30" s="544" t="s">
        <v>2027</v>
      </c>
      <c r="U30" s="474" t="s">
        <v>2027</v>
      </c>
      <c r="V30" s="474" t="s">
        <v>2027</v>
      </c>
      <c r="W30" s="474" t="s">
        <v>2027</v>
      </c>
      <c r="X30" s="471"/>
      <c r="Y30" s="573"/>
      <c r="Z30" s="474"/>
      <c r="AA30" s="477" t="s">
        <v>2028</v>
      </c>
      <c r="AB30" s="477" t="s">
        <v>2028</v>
      </c>
      <c r="AC30" s="477" t="s">
        <v>2028</v>
      </c>
      <c r="AD30" s="474"/>
    </row>
    <row r="31" spans="1:30" ht="18" customHeight="1">
      <c r="A31" s="473"/>
      <c r="B31" s="512">
        <v>14</v>
      </c>
      <c r="C31" s="471" t="s">
        <v>2029</v>
      </c>
      <c r="D31" s="547"/>
      <c r="E31" s="471"/>
      <c r="F31" s="471"/>
      <c r="G31" s="507"/>
      <c r="H31" s="538"/>
      <c r="I31" s="576" t="str">
        <f t="shared" si="1"/>
        <v>2.6.1</v>
      </c>
      <c r="J31" s="576" t="str">
        <f t="shared" si="2"/>
        <v>Расходы на оплату труда основного производственного персонала</v>
      </c>
      <c r="K31" s="576">
        <f t="shared" si="3"/>
        <v>0</v>
      </c>
      <c r="L31" s="472" t="str">
        <f t="shared" si="4"/>
        <v>2.6.1</v>
      </c>
      <c r="M31" s="472" t="str">
        <f t="shared" si="5"/>
        <v>Расходы на оплату труда основного производственного персонала</v>
      </c>
      <c r="N31" s="472" t="str">
        <f t="shared" si="6"/>
        <v/>
      </c>
      <c r="O31" s="537" t="s">
        <v>2030</v>
      </c>
      <c r="P31" s="537" t="s">
        <v>646</v>
      </c>
      <c r="Q31" s="537" t="s">
        <v>2030</v>
      </c>
      <c r="R31" s="537" t="s">
        <v>646</v>
      </c>
      <c r="S31" s="537"/>
      <c r="T31" s="545" t="s">
        <v>2031</v>
      </c>
      <c r="U31" s="474" t="s">
        <v>2031</v>
      </c>
      <c r="V31" s="474" t="s">
        <v>2031</v>
      </c>
      <c r="W31" s="474" t="s">
        <v>2031</v>
      </c>
      <c r="X31" s="471"/>
      <c r="Y31" s="573"/>
      <c r="Z31" s="474"/>
      <c r="AA31" s="477"/>
      <c r="AB31" s="477"/>
      <c r="AC31" s="477"/>
      <c r="AD31" s="474"/>
    </row>
    <row r="32" spans="1:30" ht="36" customHeight="1">
      <c r="A32" s="473"/>
      <c r="B32" s="512">
        <v>15</v>
      </c>
      <c r="C32" s="471" t="s">
        <v>2032</v>
      </c>
      <c r="D32" s="547"/>
      <c r="E32" s="471"/>
      <c r="F32" s="471"/>
      <c r="G32" s="507"/>
      <c r="H32" s="538"/>
      <c r="I32" s="576" t="str">
        <f t="shared" si="1"/>
        <v>2.6.2</v>
      </c>
      <c r="J32" s="576" t="str">
        <f t="shared" si="2"/>
        <v>Страховые взносы на обязательное социальное страхование, выплачиваемые из фонда оплаты труда основного производственного персонала</v>
      </c>
      <c r="K32" s="576">
        <f t="shared" si="3"/>
        <v>0</v>
      </c>
      <c r="L32" s="472" t="str">
        <f t="shared" si="4"/>
        <v>2.6.2</v>
      </c>
      <c r="M32" s="472" t="str">
        <f t="shared" si="5"/>
        <v>Страховые взносы на обязательное социальное страхование, выплачиваемые из фонда оплаты труда основного производственного персонала</v>
      </c>
      <c r="N32" s="472" t="str">
        <f t="shared" si="6"/>
        <v/>
      </c>
      <c r="O32" s="537" t="s">
        <v>2033</v>
      </c>
      <c r="P32" s="537" t="s">
        <v>648</v>
      </c>
      <c r="Q32" s="537" t="s">
        <v>2033</v>
      </c>
      <c r="R32" s="537" t="s">
        <v>648</v>
      </c>
      <c r="S32" s="537"/>
      <c r="T32" s="546" t="s">
        <v>2034</v>
      </c>
      <c r="U32" s="474" t="s">
        <v>2034</v>
      </c>
      <c r="V32" s="474" t="s">
        <v>2034</v>
      </c>
      <c r="W32" s="474" t="s">
        <v>2034</v>
      </c>
      <c r="X32" s="471"/>
      <c r="Y32" s="573"/>
      <c r="Z32" s="474"/>
      <c r="AA32" s="477"/>
      <c r="AB32" s="477"/>
      <c r="AC32" s="477"/>
      <c r="AD32" s="474"/>
    </row>
    <row r="33" spans="1:30" ht="45" customHeight="1">
      <c r="A33" s="473"/>
      <c r="B33" s="512">
        <v>16</v>
      </c>
      <c r="C33" s="471">
        <v>10</v>
      </c>
      <c r="D33" s="547"/>
      <c r="E33" s="471"/>
      <c r="F33" s="471"/>
      <c r="G33" s="507"/>
      <c r="H33" s="538"/>
      <c r="I33" s="576" t="str">
        <f t="shared" si="1"/>
        <v>2.7</v>
      </c>
      <c r="J33" s="57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76">
        <f t="shared" si="3"/>
        <v>0</v>
      </c>
      <c r="L33" s="472" t="str">
        <f t="shared" si="4"/>
        <v>2.7</v>
      </c>
      <c r="M33" s="47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72" t="str">
        <f t="shared" si="6"/>
        <v/>
      </c>
      <c r="O33" s="537" t="s">
        <v>654</v>
      </c>
      <c r="P33" s="537" t="s">
        <v>650</v>
      </c>
      <c r="Q33" s="537" t="s">
        <v>654</v>
      </c>
      <c r="R33" s="537" t="s">
        <v>650</v>
      </c>
      <c r="S33" s="537"/>
      <c r="T33" s="545" t="s">
        <v>2035</v>
      </c>
      <c r="U33" s="474" t="s">
        <v>2035</v>
      </c>
      <c r="V33" s="474" t="s">
        <v>2035</v>
      </c>
      <c r="W33" s="474" t="s">
        <v>2036</v>
      </c>
      <c r="X33" s="471"/>
      <c r="Y33" s="573"/>
      <c r="Z33" s="474"/>
      <c r="AA33" s="477" t="s">
        <v>2037</v>
      </c>
      <c r="AB33" s="477" t="s">
        <v>2037</v>
      </c>
      <c r="AC33" s="477" t="s">
        <v>2037</v>
      </c>
      <c r="AD33" s="474"/>
    </row>
    <row r="34" spans="1:30" ht="27" customHeight="1">
      <c r="A34" s="473"/>
      <c r="B34" s="512">
        <v>17</v>
      </c>
      <c r="C34" s="471" t="s">
        <v>2038</v>
      </c>
      <c r="D34" s="547"/>
      <c r="E34" s="471"/>
      <c r="F34" s="471"/>
      <c r="G34" s="507"/>
      <c r="H34" s="538"/>
      <c r="I34" s="576" t="str">
        <f t="shared" si="1"/>
        <v>2.7.1</v>
      </c>
      <c r="J34" s="576" t="str">
        <f t="shared" si="2"/>
        <v>Расходы на оплату труда административно-управленческого персонала</v>
      </c>
      <c r="K34" s="576">
        <f t="shared" si="3"/>
        <v>0</v>
      </c>
      <c r="L34" s="472" t="str">
        <f t="shared" si="4"/>
        <v>2.7.1</v>
      </c>
      <c r="M34" s="472" t="str">
        <f t="shared" si="5"/>
        <v>Расходы на оплату труда административно-управленческого персонала</v>
      </c>
      <c r="N34" s="472" t="str">
        <f t="shared" si="6"/>
        <v/>
      </c>
      <c r="O34" s="537" t="s">
        <v>2039</v>
      </c>
      <c r="P34" s="537" t="s">
        <v>2020</v>
      </c>
      <c r="Q34" s="537" t="s">
        <v>2039</v>
      </c>
      <c r="R34" s="537" t="s">
        <v>2020</v>
      </c>
      <c r="S34" s="537"/>
      <c r="T34" s="546" t="s">
        <v>2040</v>
      </c>
      <c r="U34" s="474" t="s">
        <v>2040</v>
      </c>
      <c r="V34" s="474" t="s">
        <v>2040</v>
      </c>
      <c r="W34" s="474" t="s">
        <v>2041</v>
      </c>
      <c r="X34" s="471"/>
      <c r="Y34" s="573"/>
      <c r="Z34" s="474"/>
      <c r="AA34" s="477"/>
      <c r="AB34" s="474"/>
      <c r="AC34" s="474"/>
      <c r="AD34" s="474"/>
    </row>
    <row r="35" spans="1:30" ht="45" customHeight="1">
      <c r="A35" s="473"/>
      <c r="B35" s="512">
        <v>18</v>
      </c>
      <c r="C35" s="471" t="s">
        <v>2042</v>
      </c>
      <c r="D35" s="547"/>
      <c r="E35" s="471"/>
      <c r="F35" s="471"/>
      <c r="G35" s="507"/>
      <c r="H35" s="538"/>
      <c r="I35" s="576" t="str">
        <f t="shared" si="1"/>
        <v>2.7.2</v>
      </c>
      <c r="J35" s="57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76">
        <f t="shared" si="3"/>
        <v>0</v>
      </c>
      <c r="L35" s="472" t="str">
        <f t="shared" si="4"/>
        <v>2.7.2</v>
      </c>
      <c r="M35" s="47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72" t="str">
        <f t="shared" si="6"/>
        <v/>
      </c>
      <c r="O35" s="537" t="s">
        <v>2043</v>
      </c>
      <c r="P35" s="537" t="s">
        <v>2023</v>
      </c>
      <c r="Q35" s="537" t="s">
        <v>2043</v>
      </c>
      <c r="R35" s="537" t="s">
        <v>2023</v>
      </c>
      <c r="S35" s="537"/>
      <c r="T35" s="544" t="s">
        <v>2044</v>
      </c>
      <c r="U35" s="474" t="s">
        <v>2044</v>
      </c>
      <c r="V35" s="474" t="s">
        <v>2044</v>
      </c>
      <c r="W35" s="474" t="s">
        <v>2044</v>
      </c>
      <c r="X35" s="471"/>
      <c r="Y35" s="573"/>
      <c r="Z35" s="474"/>
      <c r="AA35" s="477"/>
      <c r="AB35" s="474"/>
      <c r="AC35" s="474"/>
      <c r="AD35" s="474"/>
    </row>
    <row r="36" spans="1:30" ht="18" customHeight="1">
      <c r="A36" s="473"/>
      <c r="B36" s="512">
        <v>19</v>
      </c>
      <c r="C36" s="471">
        <v>11</v>
      </c>
      <c r="D36" s="547"/>
      <c r="E36" s="471"/>
      <c r="F36" s="471"/>
      <c r="G36" s="507"/>
      <c r="H36" s="538"/>
      <c r="I36" s="576" t="str">
        <f t="shared" si="1"/>
        <v>2.8</v>
      </c>
      <c r="J36" s="576" t="str">
        <f t="shared" si="2"/>
        <v>Расходы на амортизацию основных средств и нематериальных активов</v>
      </c>
      <c r="K36" s="576">
        <f t="shared" si="3"/>
        <v>0</v>
      </c>
      <c r="L36" s="472" t="str">
        <f t="shared" si="4"/>
        <v>2.8</v>
      </c>
      <c r="M36" s="472" t="str">
        <f t="shared" si="5"/>
        <v>Расходы на амортизацию основных средств и нематериальных активов</v>
      </c>
      <c r="N36" s="472" t="str">
        <f t="shared" si="6"/>
        <v/>
      </c>
      <c r="O36" s="537" t="s">
        <v>656</v>
      </c>
      <c r="P36" s="537" t="s">
        <v>652</v>
      </c>
      <c r="Q36" s="537" t="s">
        <v>656</v>
      </c>
      <c r="R36" s="537" t="s">
        <v>652</v>
      </c>
      <c r="S36" s="537"/>
      <c r="T36" s="544" t="s">
        <v>2045</v>
      </c>
      <c r="U36" s="474" t="s">
        <v>2045</v>
      </c>
      <c r="V36" s="474" t="s">
        <v>2045</v>
      </c>
      <c r="W36" s="474" t="s">
        <v>2045</v>
      </c>
      <c r="X36" s="471"/>
      <c r="Y36" s="573"/>
      <c r="Z36" s="474"/>
      <c r="AA36" s="477"/>
      <c r="AB36" s="474"/>
      <c r="AC36" s="474"/>
      <c r="AD36" s="474"/>
    </row>
    <row r="37" spans="1:30" ht="18" customHeight="1">
      <c r="A37" s="473"/>
      <c r="B37" s="512">
        <v>20</v>
      </c>
      <c r="C37" s="471" t="s">
        <v>2046</v>
      </c>
      <c r="D37" s="547"/>
      <c r="E37" s="471"/>
      <c r="F37" s="471"/>
      <c r="G37" s="507"/>
      <c r="H37" s="538"/>
      <c r="I37" s="576" t="str">
        <f t="shared" si="1"/>
        <v>2.8.1</v>
      </c>
      <c r="J37" s="576" t="str">
        <f t="shared" si="2"/>
        <v>Расходы на амортизацию основных средств</v>
      </c>
      <c r="K37" s="576">
        <f t="shared" si="3"/>
        <v>0</v>
      </c>
      <c r="L37" s="472" t="str">
        <f t="shared" si="4"/>
        <v>2.8.1</v>
      </c>
      <c r="M37" s="472" t="str">
        <f t="shared" si="5"/>
        <v>Расходы на амортизацию основных средств</v>
      </c>
      <c r="N37" s="472" t="str">
        <f t="shared" si="6"/>
        <v/>
      </c>
      <c r="O37" s="537" t="s">
        <v>2047</v>
      </c>
      <c r="P37" s="537" t="s">
        <v>2030</v>
      </c>
      <c r="Q37" s="537" t="s">
        <v>2047</v>
      </c>
      <c r="R37" s="537" t="s">
        <v>2030</v>
      </c>
      <c r="S37" s="537"/>
      <c r="T37" s="544" t="s">
        <v>2048</v>
      </c>
      <c r="U37" s="474" t="s">
        <v>2048</v>
      </c>
      <c r="V37" s="474" t="s">
        <v>2048</v>
      </c>
      <c r="W37" s="474" t="s">
        <v>2048</v>
      </c>
      <c r="X37" s="471"/>
      <c r="Y37" s="573"/>
      <c r="Z37" s="474"/>
      <c r="AA37" s="477"/>
      <c r="AB37" s="474"/>
      <c r="AC37" s="474"/>
      <c r="AD37" s="474"/>
    </row>
    <row r="38" spans="1:30" ht="18" customHeight="1">
      <c r="A38" s="473"/>
      <c r="B38" s="512">
        <v>21</v>
      </c>
      <c r="C38" s="471" t="s">
        <v>2049</v>
      </c>
      <c r="D38" s="547"/>
      <c r="E38" s="471"/>
      <c r="F38" s="471"/>
      <c r="G38" s="507"/>
      <c r="H38" s="538"/>
      <c r="I38" s="576" t="str">
        <f t="shared" si="1"/>
        <v>2.8.2</v>
      </c>
      <c r="J38" s="576" t="str">
        <f t="shared" si="2"/>
        <v>Расходы на амортизацию нематериальных активов</v>
      </c>
      <c r="K38" s="576">
        <f t="shared" si="3"/>
        <v>0</v>
      </c>
      <c r="L38" s="472" t="str">
        <f t="shared" si="4"/>
        <v>2.8.2</v>
      </c>
      <c r="M38" s="472" t="str">
        <f t="shared" si="5"/>
        <v>Расходы на амортизацию нематериальных активов</v>
      </c>
      <c r="N38" s="472" t="str">
        <f t="shared" si="6"/>
        <v/>
      </c>
      <c r="O38" s="537" t="s">
        <v>2050</v>
      </c>
      <c r="P38" s="537" t="s">
        <v>2033</v>
      </c>
      <c r="Q38" s="537" t="s">
        <v>2050</v>
      </c>
      <c r="R38" s="537" t="s">
        <v>2033</v>
      </c>
      <c r="S38" s="537"/>
      <c r="T38" s="544" t="s">
        <v>2051</v>
      </c>
      <c r="U38" s="474" t="s">
        <v>2051</v>
      </c>
      <c r="V38" s="474" t="s">
        <v>2051</v>
      </c>
      <c r="W38" s="474" t="s">
        <v>2051</v>
      </c>
      <c r="X38" s="471"/>
      <c r="Y38" s="573"/>
      <c r="Z38" s="474"/>
      <c r="AA38" s="477"/>
      <c r="AB38" s="474"/>
      <c r="AC38" s="474"/>
      <c r="AD38" s="474"/>
    </row>
    <row r="39" spans="1:30" ht="36" customHeight="1">
      <c r="A39" s="473"/>
      <c r="B39" s="512">
        <v>22</v>
      </c>
      <c r="C39" s="471">
        <v>12</v>
      </c>
      <c r="D39" s="547"/>
      <c r="E39" s="471"/>
      <c r="F39" s="471"/>
      <c r="G39" s="507"/>
      <c r="H39" s="538"/>
      <c r="I39" s="576" t="str">
        <f t="shared" si="1"/>
        <v>2.9</v>
      </c>
      <c r="J39" s="576" t="str">
        <f t="shared" si="2"/>
        <v>Расходы на аренду имущества, используемого для осуществления регулируемого вида деятельности</v>
      </c>
      <c r="K39" s="576">
        <f t="shared" si="3"/>
        <v>0</v>
      </c>
      <c r="L39" s="472" t="str">
        <f t="shared" si="4"/>
        <v>2.9</v>
      </c>
      <c r="M39" s="472" t="str">
        <f t="shared" si="5"/>
        <v>Расходы на аренду имущества, используемого для осуществления регулируемого вида деятельности</v>
      </c>
      <c r="N39" s="472" t="str">
        <f t="shared" si="6"/>
        <v/>
      </c>
      <c r="O39" s="537" t="s">
        <v>660</v>
      </c>
      <c r="P39" s="537" t="s">
        <v>654</v>
      </c>
      <c r="Q39" s="537" t="s">
        <v>660</v>
      </c>
      <c r="R39" s="537" t="s">
        <v>654</v>
      </c>
      <c r="S39" s="537"/>
      <c r="T39" s="544" t="s">
        <v>2052</v>
      </c>
      <c r="U39" s="474" t="s">
        <v>2053</v>
      </c>
      <c r="V39" s="474" t="s">
        <v>2054</v>
      </c>
      <c r="W39" s="474" t="s">
        <v>2055</v>
      </c>
      <c r="X39" s="471"/>
      <c r="Y39" s="573"/>
      <c r="Z39" s="474"/>
      <c r="AA39" s="477"/>
      <c r="AB39" s="474"/>
      <c r="AC39" s="474"/>
      <c r="AD39" s="474"/>
    </row>
    <row r="40" spans="1:30" ht="18" customHeight="1">
      <c r="A40" s="473"/>
      <c r="B40" s="512">
        <v>23</v>
      </c>
      <c r="C40" s="471">
        <v>13</v>
      </c>
      <c r="D40" s="547"/>
      <c r="E40" s="471"/>
      <c r="F40" s="471"/>
      <c r="G40" s="471"/>
      <c r="H40" s="510"/>
      <c r="I40" s="576" t="str">
        <f t="shared" si="1"/>
        <v>2.10</v>
      </c>
      <c r="J40" s="576" t="str">
        <f t="shared" si="2"/>
        <v>Общепроизводственные расходы, в том числе:</v>
      </c>
      <c r="K40" s="576" t="str">
        <f t="shared" si="3"/>
        <v>Указывается общая сумма общепроизводственных расходов.</v>
      </c>
      <c r="L40" s="472" t="str">
        <f t="shared" si="4"/>
        <v>2.10</v>
      </c>
      <c r="M40" s="472" t="str">
        <f t="shared" si="5"/>
        <v>Общепроизводственные расходы, в том числе:</v>
      </c>
      <c r="N40" s="472" t="str">
        <f t="shared" si="6"/>
        <v>Указывается общая сумма общепроизводственных расходов.</v>
      </c>
      <c r="O40" s="537" t="s">
        <v>2056</v>
      </c>
      <c r="P40" s="537" t="s">
        <v>656</v>
      </c>
      <c r="Q40" s="537" t="s">
        <v>2056</v>
      </c>
      <c r="R40" s="537" t="s">
        <v>656</v>
      </c>
      <c r="S40" s="537"/>
      <c r="T40" s="471" t="s">
        <v>2057</v>
      </c>
      <c r="U40" s="471" t="s">
        <v>2057</v>
      </c>
      <c r="V40" s="471" t="s">
        <v>2057</v>
      </c>
      <c r="W40" s="471" t="s">
        <v>2057</v>
      </c>
      <c r="X40" s="471"/>
      <c r="Y40" s="573"/>
      <c r="Z40" s="474" t="s">
        <v>2058</v>
      </c>
      <c r="AA40" s="477" t="s">
        <v>2058</v>
      </c>
      <c r="AB40" s="477" t="s">
        <v>2058</v>
      </c>
      <c r="AC40" s="477" t="s">
        <v>2058</v>
      </c>
      <c r="AD40" s="474"/>
    </row>
    <row r="41" spans="1:30" ht="27" customHeight="1">
      <c r="A41" s="473"/>
      <c r="B41" s="512">
        <v>24</v>
      </c>
      <c r="C41" s="471" t="s">
        <v>2059</v>
      </c>
      <c r="D41" s="547"/>
      <c r="E41" s="471"/>
      <c r="F41" s="471"/>
      <c r="G41" s="471"/>
      <c r="H41" s="507"/>
      <c r="I41" s="576" t="str">
        <f t="shared" si="1"/>
        <v>2.10.1</v>
      </c>
      <c r="J41" s="576" t="str">
        <f t="shared" si="2"/>
        <v>Расходы на текущий ремонт</v>
      </c>
      <c r="K41" s="576" t="str">
        <f t="shared" si="3"/>
        <v>Указываются расходы на текущий ремонт, отнесенные к общепроизводственным расходам.</v>
      </c>
      <c r="L41" s="472" t="str">
        <f t="shared" si="4"/>
        <v>2.10.1</v>
      </c>
      <c r="M41" s="472" t="str">
        <f t="shared" si="5"/>
        <v>Расходы на текущий ремонт</v>
      </c>
      <c r="N41" s="472" t="str">
        <f t="shared" si="6"/>
        <v>Указываются расходы на текущий ремонт, отнесенные к общепроизводственным расходам.</v>
      </c>
      <c r="O41" s="537" t="s">
        <v>2060</v>
      </c>
      <c r="P41" s="537" t="s">
        <v>2047</v>
      </c>
      <c r="Q41" s="537" t="s">
        <v>2060</v>
      </c>
      <c r="R41" s="537" t="s">
        <v>2047</v>
      </c>
      <c r="S41" s="537"/>
      <c r="T41" s="471" t="s">
        <v>2061</v>
      </c>
      <c r="U41" s="471" t="s">
        <v>2061</v>
      </c>
      <c r="V41" s="471" t="s">
        <v>2061</v>
      </c>
      <c r="W41" s="471" t="s">
        <v>2061</v>
      </c>
      <c r="X41" s="471"/>
      <c r="Y41" s="573"/>
      <c r="Z41" s="474" t="s">
        <v>2062</v>
      </c>
      <c r="AA41" s="474" t="s">
        <v>2062</v>
      </c>
      <c r="AB41" s="474" t="s">
        <v>2062</v>
      </c>
      <c r="AC41" s="474" t="s">
        <v>2062</v>
      </c>
      <c r="AD41" s="474"/>
    </row>
    <row r="42" spans="1:30" ht="27" customHeight="1">
      <c r="A42" s="473"/>
      <c r="B42" s="512">
        <v>25</v>
      </c>
      <c r="C42" s="471" t="s">
        <v>2063</v>
      </c>
      <c r="D42" s="547"/>
      <c r="E42" s="471"/>
      <c r="F42" s="471"/>
      <c r="G42" s="471"/>
      <c r="H42" s="507"/>
      <c r="I42" s="576" t="str">
        <f t="shared" si="1"/>
        <v>2.10.2</v>
      </c>
      <c r="J42" s="576" t="str">
        <f t="shared" si="2"/>
        <v>Расходы на капитальный ремонт</v>
      </c>
      <c r="K42" s="576" t="str">
        <f t="shared" si="3"/>
        <v>Указываются расходы на капитальный ремонт, отнесенные к общепроизводственным расходам.</v>
      </c>
      <c r="L42" s="472" t="str">
        <f t="shared" si="4"/>
        <v>2.10.2</v>
      </c>
      <c r="M42" s="472" t="str">
        <f t="shared" si="5"/>
        <v>Расходы на капитальный ремонт</v>
      </c>
      <c r="N42" s="472" t="str">
        <f t="shared" si="6"/>
        <v>Указываются расходы на капитальный ремонт, отнесенные к общепроизводственным расходам.</v>
      </c>
      <c r="O42" s="537" t="s">
        <v>2064</v>
      </c>
      <c r="P42" s="537" t="s">
        <v>2050</v>
      </c>
      <c r="Q42" s="537" t="s">
        <v>2064</v>
      </c>
      <c r="R42" s="537" t="s">
        <v>2050</v>
      </c>
      <c r="S42" s="537"/>
      <c r="T42" s="471" t="s">
        <v>2065</v>
      </c>
      <c r="U42" s="471" t="s">
        <v>2065</v>
      </c>
      <c r="V42" s="471" t="s">
        <v>2065</v>
      </c>
      <c r="W42" s="471" t="s">
        <v>2065</v>
      </c>
      <c r="X42" s="471"/>
      <c r="Y42" s="573"/>
      <c r="Z42" s="474" t="s">
        <v>2066</v>
      </c>
      <c r="AA42" s="474" t="s">
        <v>2066</v>
      </c>
      <c r="AB42" s="474" t="s">
        <v>2066</v>
      </c>
      <c r="AC42" s="474" t="s">
        <v>2066</v>
      </c>
      <c r="AD42" s="474"/>
    </row>
    <row r="43" spans="1:30" ht="18" customHeight="1">
      <c r="A43" s="473"/>
      <c r="B43" s="512">
        <v>26</v>
      </c>
      <c r="C43" s="471">
        <v>14</v>
      </c>
      <c r="D43" s="547"/>
      <c r="E43" s="471"/>
      <c r="F43" s="471"/>
      <c r="G43" s="471"/>
      <c r="H43" s="507"/>
      <c r="I43" s="576" t="str">
        <f t="shared" si="1"/>
        <v>2.11</v>
      </c>
      <c r="J43" s="576" t="str">
        <f t="shared" si="2"/>
        <v>Общехозяйственные расходы, в том числе:</v>
      </c>
      <c r="K43" s="576" t="str">
        <f t="shared" si="3"/>
        <v>Указывается общая сумма общехозяйственных расходов.</v>
      </c>
      <c r="L43" s="472" t="str">
        <f t="shared" si="4"/>
        <v>2.11</v>
      </c>
      <c r="M43" s="472" t="str">
        <f t="shared" si="5"/>
        <v>Общехозяйственные расходы, в том числе:</v>
      </c>
      <c r="N43" s="472" t="str">
        <f t="shared" si="6"/>
        <v>Указывается общая сумма общехозяйственных расходов.</v>
      </c>
      <c r="O43" s="537" t="s">
        <v>2067</v>
      </c>
      <c r="P43" s="537" t="s">
        <v>660</v>
      </c>
      <c r="Q43" s="537" t="s">
        <v>2067</v>
      </c>
      <c r="R43" s="537" t="s">
        <v>660</v>
      </c>
      <c r="S43" s="537"/>
      <c r="T43" s="471" t="s">
        <v>2068</v>
      </c>
      <c r="U43" s="471" t="s">
        <v>2068</v>
      </c>
      <c r="V43" s="471" t="s">
        <v>2068</v>
      </c>
      <c r="W43" s="471" t="s">
        <v>2068</v>
      </c>
      <c r="X43" s="471"/>
      <c r="Y43" s="573"/>
      <c r="Z43" s="474" t="s">
        <v>2069</v>
      </c>
      <c r="AA43" s="474" t="s">
        <v>2069</v>
      </c>
      <c r="AB43" s="474" t="s">
        <v>2069</v>
      </c>
      <c r="AC43" s="474" t="s">
        <v>2069</v>
      </c>
      <c r="AD43" s="474"/>
    </row>
    <row r="44" spans="1:30" ht="27" customHeight="1">
      <c r="A44" s="473"/>
      <c r="B44" s="512">
        <v>27</v>
      </c>
      <c r="C44" s="471" t="s">
        <v>2070</v>
      </c>
      <c r="D44" s="547"/>
      <c r="E44" s="471"/>
      <c r="F44" s="471"/>
      <c r="G44" s="471"/>
      <c r="H44" s="507"/>
      <c r="I44" s="576" t="str">
        <f t="shared" si="1"/>
        <v>2.11.1</v>
      </c>
      <c r="J44" s="576" t="str">
        <f t="shared" si="2"/>
        <v>Расходы на текущий ремонт</v>
      </c>
      <c r="K44" s="576" t="str">
        <f t="shared" si="3"/>
        <v>Указываются расходы на текущий ремонт, отнесенные к общехозяйственным расходам.</v>
      </c>
      <c r="L44" s="472" t="str">
        <f t="shared" si="4"/>
        <v>2.11.1</v>
      </c>
      <c r="M44" s="472" t="str">
        <f t="shared" si="5"/>
        <v>Расходы на текущий ремонт</v>
      </c>
      <c r="N44" s="472" t="str">
        <f t="shared" si="6"/>
        <v>Указываются расходы на текущий ремонт, отнесенные к общехозяйственным расходам.</v>
      </c>
      <c r="O44" s="537" t="s">
        <v>2071</v>
      </c>
      <c r="P44" s="537" t="s">
        <v>2072</v>
      </c>
      <c r="Q44" s="537" t="s">
        <v>2071</v>
      </c>
      <c r="R44" s="537" t="s">
        <v>2072</v>
      </c>
      <c r="S44" s="537"/>
      <c r="T44" s="471" t="s">
        <v>2061</v>
      </c>
      <c r="U44" s="471" t="s">
        <v>2061</v>
      </c>
      <c r="V44" s="471" t="s">
        <v>2061</v>
      </c>
      <c r="W44" s="471" t="s">
        <v>2061</v>
      </c>
      <c r="X44" s="471"/>
      <c r="Y44" s="573"/>
      <c r="Z44" s="474" t="s">
        <v>2073</v>
      </c>
      <c r="AA44" s="474" t="s">
        <v>2073</v>
      </c>
      <c r="AB44" s="474" t="s">
        <v>2073</v>
      </c>
      <c r="AC44" s="474" t="s">
        <v>2073</v>
      </c>
      <c r="AD44" s="474"/>
    </row>
    <row r="45" spans="1:30" ht="27" customHeight="1">
      <c r="A45" s="473"/>
      <c r="B45" s="512">
        <v>28</v>
      </c>
      <c r="C45" s="471" t="s">
        <v>2074</v>
      </c>
      <c r="D45" s="547"/>
      <c r="E45" s="471"/>
      <c r="F45" s="471"/>
      <c r="G45" s="471"/>
      <c r="H45" s="507"/>
      <c r="I45" s="576" t="str">
        <f t="shared" si="1"/>
        <v>2.11.2</v>
      </c>
      <c r="J45" s="576" t="str">
        <f t="shared" si="2"/>
        <v>Расходы на капитальный ремонт</v>
      </c>
      <c r="K45" s="576" t="str">
        <f t="shared" si="3"/>
        <v>Указываются расходы на капитальный ремонт, отнесенные к общехозяйственным расходам.</v>
      </c>
      <c r="L45" s="472" t="str">
        <f t="shared" si="4"/>
        <v>2.11.2</v>
      </c>
      <c r="M45" s="472" t="str">
        <f t="shared" si="5"/>
        <v>Расходы на капитальный ремонт</v>
      </c>
      <c r="N45" s="472" t="str">
        <f t="shared" si="6"/>
        <v>Указываются расходы на капитальный ремонт, отнесенные к общехозяйственным расходам.</v>
      </c>
      <c r="O45" s="537" t="s">
        <v>2075</v>
      </c>
      <c r="P45" s="537" t="s">
        <v>2076</v>
      </c>
      <c r="Q45" s="537" t="s">
        <v>2075</v>
      </c>
      <c r="R45" s="537" t="s">
        <v>2076</v>
      </c>
      <c r="S45" s="537"/>
      <c r="T45" s="471" t="s">
        <v>2065</v>
      </c>
      <c r="U45" s="471" t="s">
        <v>2065</v>
      </c>
      <c r="V45" s="471" t="s">
        <v>2065</v>
      </c>
      <c r="W45" s="471" t="s">
        <v>2065</v>
      </c>
      <c r="X45" s="471"/>
      <c r="Y45" s="573"/>
      <c r="Z45" s="474" t="s">
        <v>2077</v>
      </c>
      <c r="AA45" s="474" t="s">
        <v>2077</v>
      </c>
      <c r="AB45" s="474" t="s">
        <v>2077</v>
      </c>
      <c r="AC45" s="474" t="s">
        <v>2077</v>
      </c>
      <c r="AD45" s="474"/>
    </row>
    <row r="46" spans="1:30" ht="54" customHeight="1">
      <c r="A46" s="473"/>
      <c r="B46" s="512">
        <v>29</v>
      </c>
      <c r="C46" s="471">
        <v>15</v>
      </c>
      <c r="D46" s="547"/>
      <c r="E46" s="471"/>
      <c r="F46" s="471"/>
      <c r="G46" s="471"/>
      <c r="H46" s="507"/>
      <c r="I46" s="576" t="str">
        <f t="shared" si="1"/>
        <v>2.12</v>
      </c>
      <c r="J46" s="576" t="str">
        <f t="shared" si="2"/>
        <v>Расходы на капитальный и текущий ремонт основных средств</v>
      </c>
      <c r="K46" s="57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72" t="str">
        <f t="shared" si="4"/>
        <v>2.12</v>
      </c>
      <c r="M46" s="472" t="str">
        <f t="shared" si="5"/>
        <v>Расходы на капитальный и текущий ремонт основных средств</v>
      </c>
      <c r="N46" s="472"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37" t="s">
        <v>2078</v>
      </c>
      <c r="P46" s="537" t="s">
        <v>2056</v>
      </c>
      <c r="Q46" s="537" t="s">
        <v>2078</v>
      </c>
      <c r="R46" s="537" t="s">
        <v>2056</v>
      </c>
      <c r="S46" s="537"/>
      <c r="T46" s="471" t="s">
        <v>2079</v>
      </c>
      <c r="U46" s="471" t="s">
        <v>2079</v>
      </c>
      <c r="V46" s="471" t="s">
        <v>2079</v>
      </c>
      <c r="W46" s="471" t="s">
        <v>2079</v>
      </c>
      <c r="X46" s="471"/>
      <c r="Y46" s="573"/>
      <c r="Z46" s="474" t="s">
        <v>2080</v>
      </c>
      <c r="AA46" s="474" t="s">
        <v>2081</v>
      </c>
      <c r="AB46" s="474" t="s">
        <v>2081</v>
      </c>
      <c r="AC46" s="474" t="s">
        <v>2081</v>
      </c>
      <c r="AD46" s="474"/>
    </row>
    <row r="47" spans="1:30" ht="54" customHeight="1">
      <c r="A47" s="473"/>
      <c r="B47" s="512">
        <v>30</v>
      </c>
      <c r="C47" s="471" t="s">
        <v>2082</v>
      </c>
      <c r="D47" s="547"/>
      <c r="E47" s="471"/>
      <c r="F47" s="471"/>
      <c r="G47" s="471"/>
      <c r="H47" s="507"/>
      <c r="I47" s="576" t="str">
        <f t="shared" si="1"/>
        <v>2.12.1</v>
      </c>
      <c r="J47" s="57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76">
        <f t="shared" si="3"/>
        <v>0</v>
      </c>
      <c r="L47" s="472" t="str">
        <f t="shared" si="4"/>
        <v>2.12.1</v>
      </c>
      <c r="M47" s="4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72" t="str">
        <f t="shared" si="6"/>
        <v/>
      </c>
      <c r="O47" s="537" t="s">
        <v>2083</v>
      </c>
      <c r="P47" s="537" t="s">
        <v>2060</v>
      </c>
      <c r="Q47" s="537" t="s">
        <v>2083</v>
      </c>
      <c r="R47" s="537" t="s">
        <v>2060</v>
      </c>
      <c r="S47" s="537"/>
      <c r="T47" s="471" t="s">
        <v>2084</v>
      </c>
      <c r="U47" s="471" t="s">
        <v>2084</v>
      </c>
      <c r="V47" s="471" t="s">
        <v>2084</v>
      </c>
      <c r="W47" s="471" t="s">
        <v>2084</v>
      </c>
      <c r="X47" s="471"/>
      <c r="Y47" s="573"/>
      <c r="Z47" s="474"/>
      <c r="AA47" s="477"/>
      <c r="AB47" s="477"/>
      <c r="AC47" s="477"/>
      <c r="AD47" s="474"/>
    </row>
    <row r="48" spans="1:30" ht="54" customHeight="1">
      <c r="A48" s="473"/>
      <c r="B48" s="512">
        <v>31</v>
      </c>
      <c r="C48" s="471">
        <v>16</v>
      </c>
      <c r="D48" s="547"/>
      <c r="E48" s="471"/>
      <c r="F48" s="471"/>
      <c r="G48" s="471"/>
      <c r="H48" s="507"/>
      <c r="I48" s="576">
        <f t="shared" si="1"/>
        <v>0</v>
      </c>
      <c r="J48" s="576">
        <f t="shared" si="2"/>
        <v>0</v>
      </c>
      <c r="K48" s="576">
        <f t="shared" si="3"/>
        <v>0</v>
      </c>
      <c r="L48" s="472" t="str">
        <f t="shared" si="4"/>
        <v/>
      </c>
      <c r="M48" s="472" t="str">
        <f t="shared" si="5"/>
        <v/>
      </c>
      <c r="N48" s="472" t="str">
        <f t="shared" si="6"/>
        <v/>
      </c>
      <c r="O48" s="537"/>
      <c r="P48" s="537" t="s">
        <v>2067</v>
      </c>
      <c r="Q48" s="537" t="s">
        <v>2085</v>
      </c>
      <c r="R48" s="537" t="s">
        <v>2067</v>
      </c>
      <c r="S48" s="537"/>
      <c r="T48" s="471"/>
      <c r="U48" s="471" t="s">
        <v>2086</v>
      </c>
      <c r="V48" s="471" t="s">
        <v>2087</v>
      </c>
      <c r="W48" s="471" t="s">
        <v>2087</v>
      </c>
      <c r="X48" s="471"/>
      <c r="Y48" s="573"/>
      <c r="Z48" s="474"/>
      <c r="AA48" s="477" t="s">
        <v>2081</v>
      </c>
      <c r="AB48" s="477" t="s">
        <v>2081</v>
      </c>
      <c r="AC48" s="477" t="s">
        <v>2081</v>
      </c>
      <c r="AD48" s="474"/>
    </row>
    <row r="49" spans="1:30" ht="54" customHeight="1">
      <c r="A49" s="473"/>
      <c r="B49" s="512">
        <v>32</v>
      </c>
      <c r="C49" s="471" t="s">
        <v>2088</v>
      </c>
      <c r="D49" s="547"/>
      <c r="E49" s="471"/>
      <c r="F49" s="471"/>
      <c r="G49" s="471"/>
      <c r="H49" s="507"/>
      <c r="I49" s="576">
        <f t="shared" si="1"/>
        <v>0</v>
      </c>
      <c r="J49" s="576">
        <f t="shared" si="2"/>
        <v>0</v>
      </c>
      <c r="K49" s="576">
        <f t="shared" si="3"/>
        <v>0</v>
      </c>
      <c r="L49" s="472" t="str">
        <f t="shared" si="4"/>
        <v/>
      </c>
      <c r="M49" s="472" t="str">
        <f t="shared" si="5"/>
        <v/>
      </c>
      <c r="N49" s="472" t="str">
        <f t="shared" si="6"/>
        <v/>
      </c>
      <c r="O49" s="537"/>
      <c r="P49" s="537" t="s">
        <v>2071</v>
      </c>
      <c r="Q49" s="537" t="s">
        <v>2089</v>
      </c>
      <c r="R49" s="537" t="s">
        <v>2071</v>
      </c>
      <c r="S49" s="537"/>
      <c r="T49" s="471"/>
      <c r="U49" s="471" t="s">
        <v>2084</v>
      </c>
      <c r="V49" s="471" t="s">
        <v>2084</v>
      </c>
      <c r="W49" s="471" t="s">
        <v>2084</v>
      </c>
      <c r="X49" s="471"/>
      <c r="Y49" s="573"/>
      <c r="Z49" s="474"/>
      <c r="AA49" s="477"/>
      <c r="AB49" s="477"/>
      <c r="AC49" s="477"/>
      <c r="AD49" s="474"/>
    </row>
    <row r="50" spans="1:30" ht="126" customHeight="1">
      <c r="A50" s="473"/>
      <c r="B50" s="512">
        <v>33</v>
      </c>
      <c r="C50" s="471">
        <v>17</v>
      </c>
      <c r="D50" s="547"/>
      <c r="E50" s="471"/>
      <c r="F50" s="471"/>
      <c r="G50" s="471"/>
      <c r="H50" s="507"/>
      <c r="I50" s="576" t="str">
        <f t="shared" ref="I50:I81" si="7">INDEX(TEMPLATE_NUMBER_POINT_FHD,B50,MATCH(TEMPLATE_SPHERE,TEMPLATE_SPHERE_LIST_FOR_NOTE,0))</f>
        <v>2.13</v>
      </c>
      <c r="J50" s="57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57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472" t="str">
        <f t="shared" ref="L50:L81" si="10">IF(I50=0,"",I50)</f>
        <v>2.13</v>
      </c>
      <c r="M50" s="472"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472"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537" t="s">
        <v>2085</v>
      </c>
      <c r="P50" s="537" t="s">
        <v>2078</v>
      </c>
      <c r="Q50" s="537" t="s">
        <v>2090</v>
      </c>
      <c r="R50" s="537" t="s">
        <v>2078</v>
      </c>
      <c r="S50" s="537"/>
      <c r="T50" s="471" t="s">
        <v>2091</v>
      </c>
      <c r="U50" s="471" t="s">
        <v>2092</v>
      </c>
      <c r="V50" s="471" t="s">
        <v>2093</v>
      </c>
      <c r="W50" s="471" t="s">
        <v>2094</v>
      </c>
      <c r="X50" s="471"/>
      <c r="Y50" s="573"/>
      <c r="Z50" s="474" t="s">
        <v>2095</v>
      </c>
      <c r="AA50" s="477" t="s">
        <v>2096</v>
      </c>
      <c r="AB50" s="477" t="s">
        <v>2096</v>
      </c>
      <c r="AC50" s="477" t="s">
        <v>2096</v>
      </c>
      <c r="AD50" s="474"/>
    </row>
    <row r="51" spans="1:30" ht="27" customHeight="1">
      <c r="A51" s="473"/>
      <c r="B51" s="512">
        <v>34</v>
      </c>
      <c r="C51" s="471" t="s">
        <v>2097</v>
      </c>
      <c r="D51" s="547"/>
      <c r="E51" s="471"/>
      <c r="F51" s="471"/>
      <c r="G51" s="471"/>
      <c r="H51" s="507"/>
      <c r="I51" s="576" t="str">
        <f t="shared" si="7"/>
        <v>3</v>
      </c>
      <c r="J51" s="576" t="str">
        <f t="shared" si="8"/>
        <v>Валовая прибыль (убытки) от реализации товаров и оказания услуг по регулируемому виду деятельности</v>
      </c>
      <c r="K51" s="576">
        <f t="shared" si="9"/>
        <v>0</v>
      </c>
      <c r="L51" s="472" t="str">
        <f t="shared" si="10"/>
        <v>3</v>
      </c>
      <c r="M51" s="472" t="str">
        <f t="shared" si="11"/>
        <v>Валовая прибыль (убытки) от реализации товаров и оказания услуг по регулируемому виду деятельности</v>
      </c>
      <c r="N51" s="472" t="str">
        <f t="shared" si="12"/>
        <v/>
      </c>
      <c r="O51" s="537" t="s">
        <v>86</v>
      </c>
      <c r="P51" s="537"/>
      <c r="Q51" s="537"/>
      <c r="R51" s="537"/>
      <c r="S51" s="537"/>
      <c r="T51" s="471" t="s">
        <v>2098</v>
      </c>
      <c r="U51" s="471"/>
      <c r="V51" s="471"/>
      <c r="W51" s="471"/>
      <c r="X51" s="471"/>
      <c r="Y51" s="573"/>
      <c r="Z51" s="474"/>
      <c r="AA51" s="477"/>
      <c r="AB51" s="477"/>
      <c r="AC51" s="477"/>
      <c r="AD51" s="474"/>
    </row>
    <row r="52" spans="1:30" ht="36" customHeight="1">
      <c r="A52" s="473"/>
      <c r="B52" s="512">
        <v>35</v>
      </c>
      <c r="C52" s="471" t="s">
        <v>1990</v>
      </c>
      <c r="D52" s="547" t="s">
        <v>1990</v>
      </c>
      <c r="E52" s="471" t="s">
        <v>1990</v>
      </c>
      <c r="F52" s="471" t="s">
        <v>1990</v>
      </c>
      <c r="G52" s="471"/>
      <c r="H52" s="507"/>
      <c r="I52" s="576" t="str">
        <f t="shared" si="7"/>
        <v>4</v>
      </c>
      <c r="J52" s="576" t="str">
        <f t="shared" si="8"/>
        <v>Чистая прибыль, полученная от регулируемого вида деятельности, в том числе:</v>
      </c>
      <c r="K52" s="576" t="str">
        <f t="shared" si="9"/>
        <v>Указывается общая сумма чистой прибыли, полученной от регулируемого вида деятельности.</v>
      </c>
      <c r="L52" s="472" t="str">
        <f t="shared" si="10"/>
        <v>4</v>
      </c>
      <c r="M52" s="472" t="str">
        <f t="shared" si="11"/>
        <v>Чистая прибыль, полученная от регулируемого вида деятельности, в том числе:</v>
      </c>
      <c r="N52" s="472" t="str">
        <f t="shared" si="12"/>
        <v>Указывается общая сумма чистой прибыли, полученной от регулируемого вида деятельности.</v>
      </c>
      <c r="O52" s="537" t="s">
        <v>87</v>
      </c>
      <c r="P52" s="537" t="s">
        <v>86</v>
      </c>
      <c r="Q52" s="537" t="s">
        <v>86</v>
      </c>
      <c r="R52" s="537" t="s">
        <v>86</v>
      </c>
      <c r="S52" s="537"/>
      <c r="T52" s="471" t="s">
        <v>2099</v>
      </c>
      <c r="U52" s="471" t="s">
        <v>2100</v>
      </c>
      <c r="V52" s="471" t="s">
        <v>2101</v>
      </c>
      <c r="W52" s="471" t="s">
        <v>2102</v>
      </c>
      <c r="X52" s="471"/>
      <c r="Y52" s="573"/>
      <c r="Z52" s="474" t="s">
        <v>664</v>
      </c>
      <c r="AA52" s="477" t="s">
        <v>664</v>
      </c>
      <c r="AB52" s="477" t="s">
        <v>664</v>
      </c>
      <c r="AC52" s="477" t="s">
        <v>664</v>
      </c>
      <c r="AD52" s="474"/>
    </row>
    <row r="53" spans="1:30" ht="36" customHeight="1">
      <c r="A53" s="473"/>
      <c r="B53" s="512">
        <v>36</v>
      </c>
      <c r="C53" s="471">
        <v>1</v>
      </c>
      <c r="D53" s="547"/>
      <c r="E53" s="471"/>
      <c r="F53" s="471"/>
      <c r="G53" s="471"/>
      <c r="H53" s="507"/>
      <c r="I53" s="576" t="str">
        <f t="shared" si="7"/>
        <v>4.1</v>
      </c>
      <c r="J53" s="57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76">
        <f t="shared" si="9"/>
        <v>0</v>
      </c>
      <c r="L53" s="472" t="str">
        <f t="shared" si="10"/>
        <v>4.1</v>
      </c>
      <c r="M53" s="47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72" t="str">
        <f t="shared" si="12"/>
        <v/>
      </c>
      <c r="O53" s="537" t="s">
        <v>668</v>
      </c>
      <c r="P53" s="537" t="s">
        <v>323</v>
      </c>
      <c r="Q53" s="537" t="s">
        <v>323</v>
      </c>
      <c r="R53" s="537" t="s">
        <v>323</v>
      </c>
      <c r="S53" s="537"/>
      <c r="T53" s="471" t="s">
        <v>2103</v>
      </c>
      <c r="U53" s="471" t="s">
        <v>2103</v>
      </c>
      <c r="V53" s="471" t="s">
        <v>2103</v>
      </c>
      <c r="W53" s="471" t="s">
        <v>2103</v>
      </c>
      <c r="X53" s="471"/>
      <c r="Y53" s="573"/>
      <c r="Z53" s="474"/>
      <c r="AA53" s="477"/>
      <c r="AB53" s="474"/>
      <c r="AC53" s="474"/>
      <c r="AD53" s="474"/>
    </row>
    <row r="54" spans="1:30" ht="18" customHeight="1">
      <c r="A54" s="473"/>
      <c r="B54" s="512">
        <v>37</v>
      </c>
      <c r="C54" s="471" t="s">
        <v>1996</v>
      </c>
      <c r="D54" s="547" t="s">
        <v>1996</v>
      </c>
      <c r="E54" s="471" t="s">
        <v>1996</v>
      </c>
      <c r="F54" s="471" t="s">
        <v>1996</v>
      </c>
      <c r="G54" s="471"/>
      <c r="H54" s="507"/>
      <c r="I54" s="576" t="str">
        <f t="shared" si="7"/>
        <v>5</v>
      </c>
      <c r="J54" s="576" t="str">
        <f t="shared" si="8"/>
        <v>Изменение стоимости основных фондов, в том числе:</v>
      </c>
      <c r="K54" s="576" t="str">
        <f t="shared" si="9"/>
        <v>Указывается общее изменение стоимости основных фондов.</v>
      </c>
      <c r="L54" s="472" t="str">
        <f t="shared" si="10"/>
        <v>5</v>
      </c>
      <c r="M54" s="472" t="str">
        <f t="shared" si="11"/>
        <v>Изменение стоимости основных фондов, в том числе:</v>
      </c>
      <c r="N54" s="472" t="str">
        <f t="shared" si="12"/>
        <v>Указывается общее изменение стоимости основных фондов.</v>
      </c>
      <c r="O54" s="537" t="s">
        <v>107</v>
      </c>
      <c r="P54" s="537" t="s">
        <v>87</v>
      </c>
      <c r="Q54" s="537" t="s">
        <v>87</v>
      </c>
      <c r="R54" s="537" t="s">
        <v>87</v>
      </c>
      <c r="S54" s="537"/>
      <c r="T54" s="471" t="s">
        <v>666</v>
      </c>
      <c r="U54" s="471" t="s">
        <v>666</v>
      </c>
      <c r="V54" s="471" t="s">
        <v>666</v>
      </c>
      <c r="W54" s="471" t="s">
        <v>666</v>
      </c>
      <c r="X54" s="471"/>
      <c r="Y54" s="573"/>
      <c r="Z54" s="474" t="s">
        <v>667</v>
      </c>
      <c r="AA54" s="474" t="s">
        <v>667</v>
      </c>
      <c r="AB54" s="474" t="s">
        <v>667</v>
      </c>
      <c r="AC54" s="474" t="s">
        <v>667</v>
      </c>
      <c r="AD54" s="474"/>
    </row>
    <row r="55" spans="1:30" ht="36" customHeight="1">
      <c r="A55" s="473"/>
      <c r="B55" s="512">
        <v>38</v>
      </c>
      <c r="C55" s="471">
        <v>1</v>
      </c>
      <c r="D55" s="547"/>
      <c r="E55" s="471"/>
      <c r="F55" s="471"/>
      <c r="G55" s="471"/>
      <c r="H55" s="507"/>
      <c r="I55" s="576" t="str">
        <f t="shared" si="7"/>
        <v>5.1</v>
      </c>
      <c r="J55" s="576" t="str">
        <f t="shared" si="8"/>
        <v>Изменение стоимости основных фондов за счет:</v>
      </c>
      <c r="K55" s="576" t="str">
        <f t="shared" si="9"/>
        <v>Указываются общее изменение стоимости основных фондов за счет их ввода в эксплуатацию и вывода из эксплуатации.</v>
      </c>
      <c r="L55" s="472" t="str">
        <f t="shared" si="10"/>
        <v>5.1</v>
      </c>
      <c r="M55" s="472" t="str">
        <f t="shared" si="11"/>
        <v>Изменение стоимости основных фондов за счет:</v>
      </c>
      <c r="N55" s="472" t="str">
        <f t="shared" si="12"/>
        <v>Указываются общее изменение стоимости основных фондов за счет их ввода в эксплуатацию и вывода из эксплуатации.</v>
      </c>
      <c r="O55" s="537" t="s">
        <v>312</v>
      </c>
      <c r="P55" s="537" t="s">
        <v>668</v>
      </c>
      <c r="Q55" s="537" t="s">
        <v>668</v>
      </c>
      <c r="R55" s="537" t="s">
        <v>668</v>
      </c>
      <c r="S55" s="537"/>
      <c r="T55" s="471" t="s">
        <v>2104</v>
      </c>
      <c r="U55" s="471" t="s">
        <v>2105</v>
      </c>
      <c r="V55" s="471" t="s">
        <v>2105</v>
      </c>
      <c r="W55" s="471" t="s">
        <v>2105</v>
      </c>
      <c r="X55" s="471"/>
      <c r="Y55" s="573"/>
      <c r="Z55" s="474" t="s">
        <v>2106</v>
      </c>
      <c r="AA55" s="474" t="s">
        <v>2106</v>
      </c>
      <c r="AB55" s="474" t="s">
        <v>2106</v>
      </c>
      <c r="AC55" s="474" t="s">
        <v>2106</v>
      </c>
      <c r="AD55" s="474"/>
    </row>
    <row r="56" spans="1:30" ht="27" customHeight="1">
      <c r="A56" s="473"/>
      <c r="B56" s="512">
        <v>39</v>
      </c>
      <c r="C56" s="471" t="s">
        <v>995</v>
      </c>
      <c r="D56" s="547"/>
      <c r="E56" s="471"/>
      <c r="F56" s="471"/>
      <c r="G56" s="471"/>
      <c r="H56" s="507"/>
      <c r="I56" s="576" t="str">
        <f t="shared" si="7"/>
        <v>5.1.1</v>
      </c>
      <c r="J56" s="576" t="str">
        <f t="shared" si="8"/>
        <v>Изменения стоимости основных фондов за счет их ввода в эксплуатацию</v>
      </c>
      <c r="K56" s="576" t="str">
        <f t="shared" si="9"/>
        <v>Указываются изменение стоимости основных фондов за счет их ввода в эксплуатацию.</v>
      </c>
      <c r="L56" s="472" t="str">
        <f t="shared" si="10"/>
        <v>5.1.1</v>
      </c>
      <c r="M56" s="472" t="str">
        <f t="shared" si="11"/>
        <v>Изменения стоимости основных фондов за счет их ввода в эксплуатацию</v>
      </c>
      <c r="N56" s="472" t="str">
        <f t="shared" si="12"/>
        <v>Указываются изменение стоимости основных фондов за счет их ввода в эксплуатацию.</v>
      </c>
      <c r="O56" s="537" t="s">
        <v>1115</v>
      </c>
      <c r="P56" s="537" t="s">
        <v>671</v>
      </c>
      <c r="Q56" s="537" t="s">
        <v>671</v>
      </c>
      <c r="R56" s="537" t="s">
        <v>671</v>
      </c>
      <c r="S56" s="537"/>
      <c r="T56" s="471" t="s">
        <v>2107</v>
      </c>
      <c r="U56" s="471" t="s">
        <v>2108</v>
      </c>
      <c r="V56" s="471" t="s">
        <v>2108</v>
      </c>
      <c r="W56" s="471" t="s">
        <v>2108</v>
      </c>
      <c r="X56" s="471"/>
      <c r="Y56" s="573"/>
      <c r="Z56" s="474" t="s">
        <v>673</v>
      </c>
      <c r="AA56" s="474" t="s">
        <v>673</v>
      </c>
      <c r="AB56" s="474" t="s">
        <v>673</v>
      </c>
      <c r="AC56" s="474" t="s">
        <v>673</v>
      </c>
      <c r="AD56" s="474"/>
    </row>
    <row r="57" spans="1:30" ht="27" customHeight="1">
      <c r="A57" s="473"/>
      <c r="B57" s="512">
        <v>40</v>
      </c>
      <c r="C57" s="471" t="s">
        <v>997</v>
      </c>
      <c r="D57" s="547"/>
      <c r="E57" s="471"/>
      <c r="F57" s="471"/>
      <c r="G57" s="471"/>
      <c r="H57" s="507"/>
      <c r="I57" s="576" t="str">
        <f t="shared" si="7"/>
        <v>5.1.2</v>
      </c>
      <c r="J57" s="576" t="str">
        <f t="shared" si="8"/>
        <v>Изменения стоимости основных фондов за счет их вывода в эксплуатацию</v>
      </c>
      <c r="K57" s="576" t="str">
        <f t="shared" si="9"/>
        <v>Указываются изменение стоимости основных фондов за счет их вывода из эксплуатации.</v>
      </c>
      <c r="L57" s="472" t="str">
        <f t="shared" si="10"/>
        <v>5.1.2</v>
      </c>
      <c r="M57" s="472" t="str">
        <f t="shared" si="11"/>
        <v>Изменения стоимости основных фондов за счет их вывода в эксплуатацию</v>
      </c>
      <c r="N57" s="472" t="str">
        <f t="shared" si="12"/>
        <v>Указываются изменение стоимости основных фондов за счет их вывода из эксплуатации.</v>
      </c>
      <c r="O57" s="537" t="s">
        <v>2109</v>
      </c>
      <c r="P57" s="537" t="s">
        <v>674</v>
      </c>
      <c r="Q57" s="537" t="s">
        <v>674</v>
      </c>
      <c r="R57" s="537" t="s">
        <v>674</v>
      </c>
      <c r="S57" s="537"/>
      <c r="T57" s="471" t="s">
        <v>2110</v>
      </c>
      <c r="U57" s="471" t="s">
        <v>2111</v>
      </c>
      <c r="V57" s="471" t="s">
        <v>2111</v>
      </c>
      <c r="W57" s="471" t="s">
        <v>2111</v>
      </c>
      <c r="X57" s="471"/>
      <c r="Y57" s="573"/>
      <c r="Z57" s="474" t="s">
        <v>676</v>
      </c>
      <c r="AA57" s="474" t="s">
        <v>676</v>
      </c>
      <c r="AB57" s="474" t="s">
        <v>676</v>
      </c>
      <c r="AC57" s="474" t="s">
        <v>676</v>
      </c>
      <c r="AD57" s="474"/>
    </row>
    <row r="58" spans="1:30" ht="18" customHeight="1">
      <c r="A58" s="473"/>
      <c r="B58" s="512">
        <v>41</v>
      </c>
      <c r="C58" s="471">
        <v>2</v>
      </c>
      <c r="D58" s="547"/>
      <c r="E58" s="471"/>
      <c r="F58" s="471"/>
      <c r="G58" s="471"/>
      <c r="H58" s="507"/>
      <c r="I58" s="576" t="str">
        <f t="shared" si="7"/>
        <v>5.2</v>
      </c>
      <c r="J58" s="576" t="str">
        <f t="shared" si="8"/>
        <v>Изменение стоимости основных фондов за счет их переоценки</v>
      </c>
      <c r="K58" s="576">
        <f t="shared" si="9"/>
        <v>0</v>
      </c>
      <c r="L58" s="472" t="str">
        <f t="shared" si="10"/>
        <v>5.2</v>
      </c>
      <c r="M58" s="472" t="str">
        <f t="shared" si="11"/>
        <v>Изменение стоимости основных фондов за счет их переоценки</v>
      </c>
      <c r="N58" s="472" t="str">
        <f t="shared" si="12"/>
        <v/>
      </c>
      <c r="O58" s="537" t="s">
        <v>799</v>
      </c>
      <c r="P58" s="537" t="s">
        <v>711</v>
      </c>
      <c r="Q58" s="537" t="s">
        <v>711</v>
      </c>
      <c r="R58" s="537" t="s">
        <v>711</v>
      </c>
      <c r="S58" s="537"/>
      <c r="T58" s="471" t="s">
        <v>2112</v>
      </c>
      <c r="U58" s="471" t="s">
        <v>2112</v>
      </c>
      <c r="V58" s="471" t="s">
        <v>2112</v>
      </c>
      <c r="W58" s="471" t="s">
        <v>2112</v>
      </c>
      <c r="X58" s="471"/>
      <c r="Y58" s="573"/>
      <c r="Z58" s="474"/>
      <c r="AA58" s="477"/>
      <c r="AB58" s="474"/>
      <c r="AC58" s="474"/>
      <c r="AD58" s="474"/>
    </row>
    <row r="59" spans="1:30" ht="36" customHeight="1">
      <c r="A59" s="473"/>
      <c r="B59" s="512">
        <v>42</v>
      </c>
      <c r="C59" s="471">
        <v>3</v>
      </c>
      <c r="D59" s="547" t="s">
        <v>2097</v>
      </c>
      <c r="E59" s="471" t="s">
        <v>2097</v>
      </c>
      <c r="F59" s="471" t="s">
        <v>2097</v>
      </c>
      <c r="G59" s="471"/>
      <c r="H59" s="507"/>
      <c r="I59" s="576">
        <f t="shared" si="7"/>
        <v>0</v>
      </c>
      <c r="J59" s="576">
        <f t="shared" si="8"/>
        <v>0</v>
      </c>
      <c r="K59" s="576">
        <f t="shared" si="9"/>
        <v>0</v>
      </c>
      <c r="L59" s="472" t="str">
        <f t="shared" si="10"/>
        <v/>
      </c>
      <c r="M59" s="472" t="str">
        <f t="shared" si="11"/>
        <v/>
      </c>
      <c r="N59" s="472" t="str">
        <f t="shared" si="12"/>
        <v/>
      </c>
      <c r="O59" s="537"/>
      <c r="P59" s="537" t="s">
        <v>107</v>
      </c>
      <c r="Q59" s="537" t="s">
        <v>107</v>
      </c>
      <c r="R59" s="537" t="s">
        <v>107</v>
      </c>
      <c r="S59" s="537"/>
      <c r="T59" s="471"/>
      <c r="U59" s="471" t="s">
        <v>2113</v>
      </c>
      <c r="V59" s="471" t="s">
        <v>2114</v>
      </c>
      <c r="W59" s="471" t="s">
        <v>2115</v>
      </c>
      <c r="X59" s="471"/>
      <c r="Y59" s="573"/>
      <c r="Z59" s="474"/>
      <c r="AA59" s="477"/>
      <c r="AB59" s="474"/>
      <c r="AC59" s="474"/>
      <c r="AD59" s="474"/>
    </row>
    <row r="60" spans="1:30" ht="81" customHeight="1">
      <c r="A60" s="473"/>
      <c r="B60" s="512">
        <v>43</v>
      </c>
      <c r="C60" s="471" t="s">
        <v>2116</v>
      </c>
      <c r="D60" s="547" t="s">
        <v>2116</v>
      </c>
      <c r="E60" s="471" t="s">
        <v>2116</v>
      </c>
      <c r="F60" s="471" t="s">
        <v>2116</v>
      </c>
      <c r="G60" s="471"/>
      <c r="H60" s="507"/>
      <c r="I60" s="576" t="str">
        <f t="shared" si="7"/>
        <v>6</v>
      </c>
      <c r="J60" s="576" t="str">
        <f t="shared" si="8"/>
        <v>Годовая бухгалтерская (финансовая) отчетность, включая бухгалтерский баланс и приложения к нему</v>
      </c>
      <c r="K60" s="57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472" t="str">
        <f t="shared" si="10"/>
        <v>6</v>
      </c>
      <c r="M60" s="472" t="str">
        <f t="shared" si="11"/>
        <v>Годовая бухгалтерская (финансовая) отчетность, включая бухгалтерский баланс и приложения к нему</v>
      </c>
      <c r="N60" s="472"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537" t="s">
        <v>88</v>
      </c>
      <c r="P60" s="537" t="s">
        <v>88</v>
      </c>
      <c r="Q60" s="537" t="s">
        <v>88</v>
      </c>
      <c r="R60" s="537" t="s">
        <v>88</v>
      </c>
      <c r="S60" s="537"/>
      <c r="T60" s="471" t="s">
        <v>680</v>
      </c>
      <c r="U60" s="471" t="s">
        <v>680</v>
      </c>
      <c r="V60" s="471" t="s">
        <v>680</v>
      </c>
      <c r="W60" s="471" t="s">
        <v>680</v>
      </c>
      <c r="X60" s="471"/>
      <c r="Y60" s="573"/>
      <c r="Z60" s="474" t="s">
        <v>2117</v>
      </c>
      <c r="AA60" s="477" t="s">
        <v>2118</v>
      </c>
      <c r="AB60" s="474" t="s">
        <v>2119</v>
      </c>
      <c r="AC60" s="474" t="s">
        <v>2118</v>
      </c>
      <c r="AD60" s="474"/>
    </row>
    <row r="61" spans="1:30" ht="9" customHeight="1">
      <c r="A61" s="473"/>
      <c r="B61" s="512">
        <v>44</v>
      </c>
      <c r="C61" s="471"/>
      <c r="D61" s="547" t="s">
        <v>2120</v>
      </c>
      <c r="E61" s="471"/>
      <c r="F61" s="471"/>
      <c r="G61" s="471"/>
      <c r="H61" s="507"/>
      <c r="I61" s="576">
        <f t="shared" si="7"/>
        <v>0</v>
      </c>
      <c r="J61" s="576">
        <f t="shared" si="8"/>
        <v>0</v>
      </c>
      <c r="K61" s="576">
        <f t="shared" si="9"/>
        <v>0</v>
      </c>
      <c r="L61" s="472" t="str">
        <f t="shared" si="10"/>
        <v/>
      </c>
      <c r="M61" s="472" t="str">
        <f t="shared" si="11"/>
        <v/>
      </c>
      <c r="N61" s="472" t="str">
        <f t="shared" si="12"/>
        <v/>
      </c>
      <c r="O61" s="537"/>
      <c r="P61" s="537" t="s">
        <v>89</v>
      </c>
      <c r="Q61" s="537"/>
      <c r="R61" s="537"/>
      <c r="S61" s="537"/>
      <c r="T61" s="471"/>
      <c r="U61" s="471" t="s">
        <v>2121</v>
      </c>
      <c r="V61" s="471"/>
      <c r="W61" s="471"/>
      <c r="X61" s="471"/>
      <c r="Y61" s="573"/>
      <c r="Z61" s="474"/>
      <c r="AA61" s="477"/>
      <c r="AB61" s="474"/>
      <c r="AC61" s="474"/>
      <c r="AD61" s="474"/>
    </row>
    <row r="62" spans="1:30" ht="9" customHeight="1">
      <c r="A62" s="473"/>
      <c r="B62" s="512">
        <v>45</v>
      </c>
      <c r="C62" s="471"/>
      <c r="D62" s="547" t="s">
        <v>2122</v>
      </c>
      <c r="E62" s="471"/>
      <c r="F62" s="471"/>
      <c r="G62" s="471"/>
      <c r="H62" s="507"/>
      <c r="I62" s="576">
        <f t="shared" si="7"/>
        <v>0</v>
      </c>
      <c r="J62" s="576">
        <f t="shared" si="8"/>
        <v>0</v>
      </c>
      <c r="K62" s="576">
        <f t="shared" si="9"/>
        <v>0</v>
      </c>
      <c r="L62" s="472" t="str">
        <f t="shared" si="10"/>
        <v/>
      </c>
      <c r="M62" s="472" t="str">
        <f t="shared" si="11"/>
        <v/>
      </c>
      <c r="N62" s="472" t="str">
        <f t="shared" si="12"/>
        <v/>
      </c>
      <c r="O62" s="537"/>
      <c r="P62" s="537" t="s">
        <v>108</v>
      </c>
      <c r="Q62" s="537"/>
      <c r="R62" s="537"/>
      <c r="S62" s="537"/>
      <c r="T62" s="471"/>
      <c r="U62" s="471" t="s">
        <v>2123</v>
      </c>
      <c r="V62" s="471"/>
      <c r="W62" s="471"/>
      <c r="X62" s="471"/>
      <c r="Y62" s="573"/>
      <c r="Z62" s="474"/>
      <c r="AA62" s="477"/>
      <c r="AB62" s="474"/>
      <c r="AC62" s="474"/>
      <c r="AD62" s="474"/>
    </row>
    <row r="63" spans="1:30" ht="18" customHeight="1">
      <c r="A63" s="473"/>
      <c r="B63" s="512">
        <v>46</v>
      </c>
      <c r="C63" s="471"/>
      <c r="D63" s="547" t="s">
        <v>2124</v>
      </c>
      <c r="E63" s="471"/>
      <c r="F63" s="471"/>
      <c r="G63" s="471"/>
      <c r="H63" s="507"/>
      <c r="I63" s="576">
        <f t="shared" si="7"/>
        <v>0</v>
      </c>
      <c r="J63" s="576">
        <f t="shared" si="8"/>
        <v>0</v>
      </c>
      <c r="K63" s="576">
        <f t="shared" si="9"/>
        <v>0</v>
      </c>
      <c r="L63" s="472" t="str">
        <f t="shared" si="10"/>
        <v/>
      </c>
      <c r="M63" s="472" t="str">
        <f t="shared" si="11"/>
        <v/>
      </c>
      <c r="N63" s="472" t="str">
        <f t="shared" si="12"/>
        <v/>
      </c>
      <c r="O63" s="537"/>
      <c r="P63" s="537" t="s">
        <v>149</v>
      </c>
      <c r="Q63" s="537"/>
      <c r="R63" s="537"/>
      <c r="S63" s="537"/>
      <c r="T63" s="471"/>
      <c r="U63" s="471" t="s">
        <v>2125</v>
      </c>
      <c r="V63" s="471"/>
      <c r="W63" s="471"/>
      <c r="X63" s="471"/>
      <c r="Y63" s="573"/>
      <c r="Z63" s="474"/>
      <c r="AA63" s="477"/>
      <c r="AB63" s="474"/>
      <c r="AC63" s="474"/>
      <c r="AD63" s="474"/>
    </row>
    <row r="64" spans="1:30" ht="18" customHeight="1">
      <c r="A64" s="473"/>
      <c r="B64" s="512">
        <v>47</v>
      </c>
      <c r="C64" s="471"/>
      <c r="D64" s="547" t="s">
        <v>2126</v>
      </c>
      <c r="E64" s="471"/>
      <c r="F64" s="471"/>
      <c r="G64" s="471"/>
      <c r="H64" s="507"/>
      <c r="I64" s="576">
        <f t="shared" si="7"/>
        <v>0</v>
      </c>
      <c r="J64" s="576">
        <f t="shared" si="8"/>
        <v>0</v>
      </c>
      <c r="K64" s="576">
        <f t="shared" si="9"/>
        <v>0</v>
      </c>
      <c r="L64" s="472" t="str">
        <f t="shared" si="10"/>
        <v/>
      </c>
      <c r="M64" s="472" t="str">
        <f t="shared" si="11"/>
        <v/>
      </c>
      <c r="N64" s="472" t="str">
        <f t="shared" si="12"/>
        <v/>
      </c>
      <c r="O64" s="537"/>
      <c r="P64" s="537" t="s">
        <v>150</v>
      </c>
      <c r="Q64" s="537"/>
      <c r="R64" s="537"/>
      <c r="S64" s="537"/>
      <c r="T64" s="471"/>
      <c r="U64" s="471" t="s">
        <v>2127</v>
      </c>
      <c r="V64" s="471"/>
      <c r="W64" s="471"/>
      <c r="X64" s="471"/>
      <c r="Y64" s="573"/>
      <c r="Z64" s="474"/>
      <c r="AA64" s="477" t="s">
        <v>2128</v>
      </c>
      <c r="AB64" s="474"/>
      <c r="AC64" s="474"/>
      <c r="AD64" s="474"/>
    </row>
    <row r="65" spans="1:30" ht="18" customHeight="1">
      <c r="A65" s="473"/>
      <c r="B65" s="512">
        <v>48</v>
      </c>
      <c r="C65" s="471"/>
      <c r="D65" s="547"/>
      <c r="E65" s="471"/>
      <c r="F65" s="471"/>
      <c r="G65" s="471"/>
      <c r="H65" s="507"/>
      <c r="I65" s="576">
        <f t="shared" si="7"/>
        <v>0</v>
      </c>
      <c r="J65" s="576">
        <f t="shared" si="8"/>
        <v>0</v>
      </c>
      <c r="K65" s="576">
        <f t="shared" si="9"/>
        <v>0</v>
      </c>
      <c r="L65" s="472" t="str">
        <f t="shared" si="10"/>
        <v/>
      </c>
      <c r="M65" s="472" t="str">
        <f t="shared" si="11"/>
        <v/>
      </c>
      <c r="N65" s="472" t="str">
        <f t="shared" si="12"/>
        <v/>
      </c>
      <c r="O65" s="537"/>
      <c r="P65" s="537" t="s">
        <v>2038</v>
      </c>
      <c r="Q65" s="537"/>
      <c r="R65" s="537"/>
      <c r="S65" s="537"/>
      <c r="T65" s="471"/>
      <c r="U65" s="471" t="s">
        <v>2129</v>
      </c>
      <c r="V65" s="471"/>
      <c r="W65" s="471"/>
      <c r="X65" s="471"/>
      <c r="Y65" s="573"/>
      <c r="Z65" s="474"/>
      <c r="AA65" s="477"/>
      <c r="AB65" s="474"/>
      <c r="AC65" s="474"/>
      <c r="AD65" s="474"/>
    </row>
    <row r="66" spans="1:30" ht="18" customHeight="1">
      <c r="A66" s="473"/>
      <c r="B66" s="512">
        <v>49</v>
      </c>
      <c r="C66" s="471"/>
      <c r="D66" s="547"/>
      <c r="E66" s="471"/>
      <c r="F66" s="471"/>
      <c r="G66" s="471"/>
      <c r="H66" s="507"/>
      <c r="I66" s="576">
        <f t="shared" si="7"/>
        <v>0</v>
      </c>
      <c r="J66" s="576">
        <f t="shared" si="8"/>
        <v>0</v>
      </c>
      <c r="K66" s="576">
        <f t="shared" si="9"/>
        <v>0</v>
      </c>
      <c r="L66" s="472" t="str">
        <f t="shared" si="10"/>
        <v/>
      </c>
      <c r="M66" s="472" t="str">
        <f t="shared" si="11"/>
        <v/>
      </c>
      <c r="N66" s="472" t="str">
        <f t="shared" si="12"/>
        <v/>
      </c>
      <c r="O66" s="537"/>
      <c r="P66" s="537" t="s">
        <v>2042</v>
      </c>
      <c r="Q66" s="537"/>
      <c r="R66" s="537"/>
      <c r="S66" s="537"/>
      <c r="T66" s="471"/>
      <c r="U66" s="471" t="s">
        <v>2130</v>
      </c>
      <c r="V66" s="471"/>
      <c r="W66" s="471"/>
      <c r="X66" s="471"/>
      <c r="Y66" s="573"/>
      <c r="Z66" s="474"/>
      <c r="AA66" s="477"/>
      <c r="AB66" s="474"/>
      <c r="AC66" s="474"/>
      <c r="AD66" s="474"/>
    </row>
    <row r="67" spans="1:30" ht="27" customHeight="1">
      <c r="A67" s="473"/>
      <c r="B67" s="512">
        <v>50</v>
      </c>
      <c r="C67" s="471"/>
      <c r="D67" s="547"/>
      <c r="E67" s="471"/>
      <c r="F67" s="471"/>
      <c r="G67" s="471"/>
      <c r="H67" s="507"/>
      <c r="I67" s="576">
        <f t="shared" si="7"/>
        <v>0</v>
      </c>
      <c r="J67" s="576">
        <f t="shared" si="8"/>
        <v>0</v>
      </c>
      <c r="K67" s="576">
        <f t="shared" si="9"/>
        <v>0</v>
      </c>
      <c r="L67" s="472" t="str">
        <f t="shared" si="10"/>
        <v/>
      </c>
      <c r="M67" s="472" t="str">
        <f t="shared" si="11"/>
        <v/>
      </c>
      <c r="N67" s="472" t="str">
        <f t="shared" si="12"/>
        <v/>
      </c>
      <c r="O67" s="537"/>
      <c r="P67" s="537" t="s">
        <v>2131</v>
      </c>
      <c r="Q67" s="537"/>
      <c r="R67" s="537"/>
      <c r="S67" s="537"/>
      <c r="T67" s="471"/>
      <c r="U67" s="471" t="s">
        <v>2132</v>
      </c>
      <c r="V67" s="471"/>
      <c r="W67" s="471"/>
      <c r="X67" s="471"/>
      <c r="Y67" s="573"/>
      <c r="Z67" s="474"/>
      <c r="AA67" s="477"/>
      <c r="AB67" s="474"/>
      <c r="AC67" s="474"/>
      <c r="AD67" s="474"/>
    </row>
    <row r="68" spans="1:30" ht="27" customHeight="1">
      <c r="A68" s="473"/>
      <c r="B68" s="512">
        <v>51</v>
      </c>
      <c r="C68" s="471"/>
      <c r="D68" s="547"/>
      <c r="E68" s="471"/>
      <c r="F68" s="471"/>
      <c r="G68" s="471"/>
      <c r="H68" s="507"/>
      <c r="I68" s="576">
        <f t="shared" si="7"/>
        <v>0</v>
      </c>
      <c r="J68" s="576">
        <f t="shared" si="8"/>
        <v>0</v>
      </c>
      <c r="K68" s="576">
        <f t="shared" si="9"/>
        <v>0</v>
      </c>
      <c r="L68" s="472" t="str">
        <f t="shared" si="10"/>
        <v/>
      </c>
      <c r="M68" s="472" t="str">
        <f t="shared" si="11"/>
        <v/>
      </c>
      <c r="N68" s="472" t="str">
        <f t="shared" si="12"/>
        <v/>
      </c>
      <c r="O68" s="537"/>
      <c r="P68" s="537" t="s">
        <v>2133</v>
      </c>
      <c r="Q68" s="537"/>
      <c r="R68" s="537"/>
      <c r="S68" s="537"/>
      <c r="T68" s="471"/>
      <c r="U68" s="471" t="s">
        <v>2134</v>
      </c>
      <c r="V68" s="471"/>
      <c r="W68" s="471"/>
      <c r="X68" s="471"/>
      <c r="Y68" s="573"/>
      <c r="Z68" s="474"/>
      <c r="AA68" s="477"/>
      <c r="AB68" s="474"/>
      <c r="AC68" s="474"/>
      <c r="AD68" s="474"/>
    </row>
    <row r="69" spans="1:30" ht="9" customHeight="1">
      <c r="A69" s="473"/>
      <c r="B69" s="512">
        <v>52</v>
      </c>
      <c r="C69" s="471"/>
      <c r="D69" s="547" t="s">
        <v>2135</v>
      </c>
      <c r="E69" s="471"/>
      <c r="F69" s="471"/>
      <c r="G69" s="471"/>
      <c r="H69" s="507"/>
      <c r="I69" s="576">
        <f t="shared" si="7"/>
        <v>0</v>
      </c>
      <c r="J69" s="576">
        <f t="shared" si="8"/>
        <v>0</v>
      </c>
      <c r="K69" s="576">
        <f t="shared" si="9"/>
        <v>0</v>
      </c>
      <c r="L69" s="472" t="str">
        <f t="shared" si="10"/>
        <v/>
      </c>
      <c r="M69" s="472" t="str">
        <f t="shared" si="11"/>
        <v/>
      </c>
      <c r="N69" s="472" t="str">
        <f t="shared" si="12"/>
        <v/>
      </c>
      <c r="O69" s="537"/>
      <c r="P69" s="537" t="s">
        <v>151</v>
      </c>
      <c r="Q69" s="537"/>
      <c r="R69" s="537"/>
      <c r="S69" s="537"/>
      <c r="T69" s="471"/>
      <c r="U69" s="471" t="s">
        <v>2136</v>
      </c>
      <c r="V69" s="471"/>
      <c r="W69" s="471"/>
      <c r="X69" s="471"/>
      <c r="Y69" s="573"/>
      <c r="Z69" s="474"/>
      <c r="AA69" s="477"/>
      <c r="AB69" s="474"/>
      <c r="AC69" s="474"/>
      <c r="AD69" s="474"/>
    </row>
    <row r="70" spans="1:30" ht="27" customHeight="1">
      <c r="A70" s="473"/>
      <c r="B70" s="512">
        <v>53</v>
      </c>
      <c r="C70" s="471"/>
      <c r="D70" s="547"/>
      <c r="E70" s="471" t="s">
        <v>2120</v>
      </c>
      <c r="F70" s="471"/>
      <c r="G70" s="471"/>
      <c r="H70" s="507"/>
      <c r="I70" s="576">
        <f t="shared" si="7"/>
        <v>0</v>
      </c>
      <c r="J70" s="576">
        <f t="shared" si="8"/>
        <v>0</v>
      </c>
      <c r="K70" s="576">
        <f t="shared" si="9"/>
        <v>0</v>
      </c>
      <c r="L70" s="472" t="str">
        <f t="shared" si="10"/>
        <v/>
      </c>
      <c r="M70" s="472" t="str">
        <f t="shared" si="11"/>
        <v/>
      </c>
      <c r="N70" s="472" t="str">
        <f t="shared" si="12"/>
        <v/>
      </c>
      <c r="O70" s="537"/>
      <c r="P70" s="537"/>
      <c r="Q70" s="537" t="s">
        <v>89</v>
      </c>
      <c r="R70" s="537"/>
      <c r="S70" s="537"/>
      <c r="T70" s="471"/>
      <c r="U70" s="471"/>
      <c r="V70" s="471" t="s">
        <v>2137</v>
      </c>
      <c r="W70" s="471"/>
      <c r="X70" s="471"/>
      <c r="Y70" s="573"/>
      <c r="Z70" s="474"/>
      <c r="AA70" s="477"/>
      <c r="AB70" s="474"/>
      <c r="AC70" s="474"/>
      <c r="AD70" s="474"/>
    </row>
    <row r="71" spans="1:30" ht="36" customHeight="1">
      <c r="A71" s="473"/>
      <c r="B71" s="512">
        <v>54</v>
      </c>
      <c r="C71" s="471"/>
      <c r="D71" s="547"/>
      <c r="E71" s="471" t="s">
        <v>2122</v>
      </c>
      <c r="F71" s="471"/>
      <c r="G71" s="471"/>
      <c r="H71" s="507"/>
      <c r="I71" s="576">
        <f t="shared" si="7"/>
        <v>0</v>
      </c>
      <c r="J71" s="576">
        <f t="shared" si="8"/>
        <v>0</v>
      </c>
      <c r="K71" s="576">
        <f t="shared" si="9"/>
        <v>0</v>
      </c>
      <c r="L71" s="472" t="str">
        <f t="shared" si="10"/>
        <v/>
      </c>
      <c r="M71" s="472" t="str">
        <f t="shared" si="11"/>
        <v/>
      </c>
      <c r="N71" s="472" t="str">
        <f t="shared" si="12"/>
        <v/>
      </c>
      <c r="O71" s="537"/>
      <c r="P71" s="537"/>
      <c r="Q71" s="537" t="s">
        <v>108</v>
      </c>
      <c r="R71" s="537"/>
      <c r="S71" s="537"/>
      <c r="T71" s="471"/>
      <c r="U71" s="471"/>
      <c r="V71" s="471" t="s">
        <v>2138</v>
      </c>
      <c r="W71" s="471"/>
      <c r="X71" s="471"/>
      <c r="Y71" s="573"/>
      <c r="Z71" s="474"/>
      <c r="AA71" s="477"/>
      <c r="AB71" s="474"/>
      <c r="AC71" s="474"/>
      <c r="AD71" s="474"/>
    </row>
    <row r="72" spans="1:30" ht="27" customHeight="1">
      <c r="A72" s="473"/>
      <c r="B72" s="512">
        <v>55</v>
      </c>
      <c r="C72" s="471"/>
      <c r="D72" s="547"/>
      <c r="E72" s="471" t="s">
        <v>2124</v>
      </c>
      <c r="F72" s="471"/>
      <c r="G72" s="471"/>
      <c r="H72" s="507"/>
      <c r="I72" s="576">
        <f t="shared" si="7"/>
        <v>0</v>
      </c>
      <c r="J72" s="576">
        <f t="shared" si="8"/>
        <v>0</v>
      </c>
      <c r="K72" s="576">
        <f t="shared" si="9"/>
        <v>0</v>
      </c>
      <c r="L72" s="472" t="str">
        <f t="shared" si="10"/>
        <v/>
      </c>
      <c r="M72" s="472" t="str">
        <f t="shared" si="11"/>
        <v/>
      </c>
      <c r="N72" s="472" t="str">
        <f t="shared" si="12"/>
        <v/>
      </c>
      <c r="O72" s="537"/>
      <c r="P72" s="537"/>
      <c r="Q72" s="537" t="s">
        <v>149</v>
      </c>
      <c r="R72" s="537"/>
      <c r="S72" s="537"/>
      <c r="T72" s="471"/>
      <c r="U72" s="471"/>
      <c r="V72" s="471" t="s">
        <v>2139</v>
      </c>
      <c r="W72" s="471"/>
      <c r="X72" s="471"/>
      <c r="Y72" s="573"/>
      <c r="Z72" s="474"/>
      <c r="AA72" s="477"/>
      <c r="AB72" s="474"/>
      <c r="AC72" s="474"/>
      <c r="AD72" s="474"/>
    </row>
    <row r="73" spans="1:30" ht="36" customHeight="1">
      <c r="A73" s="473"/>
      <c r="B73" s="512">
        <v>56</v>
      </c>
      <c r="C73" s="471"/>
      <c r="D73" s="547"/>
      <c r="E73" s="471" t="s">
        <v>2126</v>
      </c>
      <c r="F73" s="471"/>
      <c r="G73" s="471"/>
      <c r="H73" s="507"/>
      <c r="I73" s="576">
        <f t="shared" si="7"/>
        <v>0</v>
      </c>
      <c r="J73" s="576">
        <f t="shared" si="8"/>
        <v>0</v>
      </c>
      <c r="K73" s="576">
        <f t="shared" si="9"/>
        <v>0</v>
      </c>
      <c r="L73" s="472" t="str">
        <f t="shared" si="10"/>
        <v/>
      </c>
      <c r="M73" s="472" t="str">
        <f t="shared" si="11"/>
        <v/>
      </c>
      <c r="N73" s="472" t="str">
        <f t="shared" si="12"/>
        <v/>
      </c>
      <c r="O73" s="537"/>
      <c r="P73" s="537"/>
      <c r="Q73" s="537" t="s">
        <v>150</v>
      </c>
      <c r="R73" s="537"/>
      <c r="S73" s="537"/>
      <c r="T73" s="471"/>
      <c r="U73" s="471"/>
      <c r="V73" s="471" t="s">
        <v>2140</v>
      </c>
      <c r="W73" s="471"/>
      <c r="X73" s="471"/>
      <c r="Y73" s="573"/>
      <c r="Z73" s="474"/>
      <c r="AA73" s="477"/>
      <c r="AB73" s="474"/>
      <c r="AC73" s="474"/>
      <c r="AD73" s="474"/>
    </row>
    <row r="74" spans="1:30" ht="18" customHeight="1">
      <c r="A74" s="473"/>
      <c r="B74" s="512">
        <v>57</v>
      </c>
      <c r="C74" s="471"/>
      <c r="D74" s="547"/>
      <c r="E74" s="471" t="s">
        <v>2135</v>
      </c>
      <c r="F74" s="471"/>
      <c r="G74" s="471"/>
      <c r="H74" s="507"/>
      <c r="I74" s="576">
        <f t="shared" si="7"/>
        <v>0</v>
      </c>
      <c r="J74" s="576">
        <f t="shared" si="8"/>
        <v>0</v>
      </c>
      <c r="K74" s="576">
        <f t="shared" si="9"/>
        <v>0</v>
      </c>
      <c r="L74" s="472" t="str">
        <f t="shared" si="10"/>
        <v/>
      </c>
      <c r="M74" s="472" t="str">
        <f t="shared" si="11"/>
        <v/>
      </c>
      <c r="N74" s="472" t="str">
        <f t="shared" si="12"/>
        <v/>
      </c>
      <c r="O74" s="537"/>
      <c r="P74" s="537"/>
      <c r="Q74" s="537" t="s">
        <v>151</v>
      </c>
      <c r="R74" s="537"/>
      <c r="S74" s="537"/>
      <c r="T74" s="471"/>
      <c r="U74" s="471"/>
      <c r="V74" s="471" t="s">
        <v>2141</v>
      </c>
      <c r="W74" s="471"/>
      <c r="X74" s="471"/>
      <c r="Y74" s="573"/>
      <c r="Z74" s="474"/>
      <c r="AA74" s="477"/>
      <c r="AB74" s="474"/>
      <c r="AC74" s="474"/>
      <c r="AD74" s="474"/>
    </row>
    <row r="75" spans="1:30" ht="18" customHeight="1">
      <c r="A75" s="473"/>
      <c r="B75" s="512">
        <v>58</v>
      </c>
      <c r="C75" s="471"/>
      <c r="D75" s="547"/>
      <c r="E75" s="471"/>
      <c r="F75" s="471" t="s">
        <v>2120</v>
      </c>
      <c r="G75" s="471"/>
      <c r="H75" s="507"/>
      <c r="I75" s="576">
        <f t="shared" si="7"/>
        <v>0</v>
      </c>
      <c r="J75" s="576">
        <f t="shared" si="8"/>
        <v>0</v>
      </c>
      <c r="K75" s="576">
        <f t="shared" si="9"/>
        <v>0</v>
      </c>
      <c r="L75" s="472" t="str">
        <f t="shared" si="10"/>
        <v/>
      </c>
      <c r="M75" s="472" t="str">
        <f t="shared" si="11"/>
        <v/>
      </c>
      <c r="N75" s="472" t="str">
        <f t="shared" si="12"/>
        <v/>
      </c>
      <c r="O75" s="537"/>
      <c r="P75" s="537"/>
      <c r="Q75" s="537"/>
      <c r="R75" s="537" t="s">
        <v>89</v>
      </c>
      <c r="S75" s="537"/>
      <c r="T75" s="471"/>
      <c r="U75" s="471"/>
      <c r="V75" s="471"/>
      <c r="W75" s="471" t="s">
        <v>2142</v>
      </c>
      <c r="X75" s="471"/>
      <c r="Y75" s="573"/>
      <c r="Z75" s="474"/>
      <c r="AA75" s="477"/>
      <c r="AB75" s="474"/>
      <c r="AC75" s="474"/>
      <c r="AD75" s="474"/>
    </row>
    <row r="76" spans="1:30" ht="36" customHeight="1">
      <c r="A76" s="473"/>
      <c r="B76" s="512">
        <v>59</v>
      </c>
      <c r="C76" s="471"/>
      <c r="D76" s="547"/>
      <c r="E76" s="471"/>
      <c r="F76" s="471" t="s">
        <v>2122</v>
      </c>
      <c r="G76" s="471"/>
      <c r="H76" s="507"/>
      <c r="I76" s="576">
        <f t="shared" si="7"/>
        <v>0</v>
      </c>
      <c r="J76" s="576">
        <f t="shared" si="8"/>
        <v>0</v>
      </c>
      <c r="K76" s="576">
        <f t="shared" si="9"/>
        <v>0</v>
      </c>
      <c r="L76" s="472" t="str">
        <f t="shared" si="10"/>
        <v/>
      </c>
      <c r="M76" s="472" t="str">
        <f t="shared" si="11"/>
        <v/>
      </c>
      <c r="N76" s="472" t="str">
        <f t="shared" si="12"/>
        <v/>
      </c>
      <c r="O76" s="537"/>
      <c r="P76" s="537"/>
      <c r="Q76" s="537"/>
      <c r="R76" s="537" t="s">
        <v>108</v>
      </c>
      <c r="S76" s="537"/>
      <c r="T76" s="471"/>
      <c r="U76" s="471"/>
      <c r="V76" s="471"/>
      <c r="W76" s="471" t="s">
        <v>2143</v>
      </c>
      <c r="X76" s="471"/>
      <c r="Y76" s="573"/>
      <c r="Z76" s="474"/>
      <c r="AA76" s="477"/>
      <c r="AB76" s="474"/>
      <c r="AC76" s="474"/>
      <c r="AD76" s="474"/>
    </row>
    <row r="77" spans="1:30" ht="18" customHeight="1">
      <c r="A77" s="473"/>
      <c r="B77" s="512">
        <v>60</v>
      </c>
      <c r="C77" s="471"/>
      <c r="D77" s="547"/>
      <c r="E77" s="471"/>
      <c r="F77" s="471" t="s">
        <v>2124</v>
      </c>
      <c r="G77" s="471"/>
      <c r="H77" s="507"/>
      <c r="I77" s="576">
        <f t="shared" si="7"/>
        <v>0</v>
      </c>
      <c r="J77" s="576">
        <f t="shared" si="8"/>
        <v>0</v>
      </c>
      <c r="K77" s="576">
        <f t="shared" si="9"/>
        <v>0</v>
      </c>
      <c r="L77" s="472" t="str">
        <f t="shared" si="10"/>
        <v/>
      </c>
      <c r="M77" s="472" t="str">
        <f t="shared" si="11"/>
        <v/>
      </c>
      <c r="N77" s="472" t="str">
        <f t="shared" si="12"/>
        <v/>
      </c>
      <c r="O77" s="537"/>
      <c r="P77" s="537"/>
      <c r="Q77" s="537"/>
      <c r="R77" s="537" t="s">
        <v>149</v>
      </c>
      <c r="S77" s="537"/>
      <c r="T77" s="471"/>
      <c r="U77" s="471"/>
      <c r="V77" s="471"/>
      <c r="W77" s="471" t="s">
        <v>2144</v>
      </c>
      <c r="X77" s="471"/>
      <c r="Y77" s="573"/>
      <c r="Z77" s="474"/>
      <c r="AA77" s="477"/>
      <c r="AB77" s="474"/>
      <c r="AC77" s="474"/>
      <c r="AD77" s="474"/>
    </row>
    <row r="78" spans="1:30" ht="72" customHeight="1">
      <c r="A78" s="473"/>
      <c r="B78" s="512">
        <v>61</v>
      </c>
      <c r="C78" s="471" t="s">
        <v>2120</v>
      </c>
      <c r="D78" s="547"/>
      <c r="E78" s="471"/>
      <c r="F78" s="471"/>
      <c r="G78" s="471"/>
      <c r="H78" s="507"/>
      <c r="I78" s="576" t="str">
        <f t="shared" si="7"/>
        <v>7</v>
      </c>
      <c r="J78" s="57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57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472" t="str">
        <f t="shared" si="10"/>
        <v>7</v>
      </c>
      <c r="M78" s="472"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472"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537" t="s">
        <v>89</v>
      </c>
      <c r="P78" s="537"/>
      <c r="Q78" s="537"/>
      <c r="R78" s="537"/>
      <c r="S78" s="537"/>
      <c r="T78" s="471" t="s">
        <v>2145</v>
      </c>
      <c r="U78" s="471"/>
      <c r="V78" s="471"/>
      <c r="W78" s="471"/>
      <c r="X78" s="471"/>
      <c r="Y78" s="573"/>
      <c r="Z78" s="474" t="s">
        <v>2146</v>
      </c>
      <c r="AA78" s="477"/>
      <c r="AB78" s="474"/>
      <c r="AC78" s="474"/>
      <c r="AD78" s="474"/>
    </row>
    <row r="79" spans="1:30" ht="36" customHeight="1">
      <c r="A79" s="473"/>
      <c r="B79" s="512">
        <v>62</v>
      </c>
      <c r="C79" s="471" t="s">
        <v>2122</v>
      </c>
      <c r="D79" s="547"/>
      <c r="E79" s="471"/>
      <c r="F79" s="471"/>
      <c r="G79" s="471"/>
      <c r="H79" s="507"/>
      <c r="I79" s="576" t="str">
        <f t="shared" si="7"/>
        <v>8</v>
      </c>
      <c r="J79" s="576" t="str">
        <f t="shared" si="8"/>
        <v>Тепловая нагрузка по договорам, заключенным в рамках осуществления регулируемых видов деятельности</v>
      </c>
      <c r="K79" s="57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472" t="str">
        <f t="shared" si="10"/>
        <v>8</v>
      </c>
      <c r="M79" s="472" t="str">
        <f t="shared" si="11"/>
        <v>Тепловая нагрузка по договорам, заключенным в рамках осуществления регулируемых видов деятельности</v>
      </c>
      <c r="N79" s="472"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537" t="s">
        <v>108</v>
      </c>
      <c r="P79" s="537"/>
      <c r="Q79" s="537"/>
      <c r="R79" s="537"/>
      <c r="S79" s="537"/>
      <c r="T79" s="471" t="s">
        <v>2147</v>
      </c>
      <c r="U79" s="471"/>
      <c r="V79" s="471"/>
      <c r="W79" s="471"/>
      <c r="X79" s="471"/>
      <c r="Y79" s="573"/>
      <c r="Z79" s="474" t="s">
        <v>2148</v>
      </c>
      <c r="AA79" s="477"/>
      <c r="AB79" s="474"/>
      <c r="AC79" s="474"/>
      <c r="AD79" s="474"/>
    </row>
    <row r="80" spans="1:30" ht="45" customHeight="1">
      <c r="A80" s="473"/>
      <c r="B80" s="512">
        <v>63</v>
      </c>
      <c r="C80" s="471" t="s">
        <v>2124</v>
      </c>
      <c r="D80" s="547"/>
      <c r="E80" s="471"/>
      <c r="F80" s="471"/>
      <c r="G80" s="471"/>
      <c r="H80" s="507"/>
      <c r="I80" s="576" t="str">
        <f t="shared" si="7"/>
        <v>9</v>
      </c>
      <c r="J80" s="576" t="str">
        <f t="shared" si="8"/>
        <v>Объем вырабатываемой регулируемой организацией тепловой энергии в рамках осуществления регулируемых видов деятельности</v>
      </c>
      <c r="K80" s="57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472" t="str">
        <f t="shared" si="10"/>
        <v>9</v>
      </c>
      <c r="M80" s="472" t="str">
        <f t="shared" si="11"/>
        <v>Объем вырабатываемой регулируемой организацией тепловой энергии в рамках осуществления регулируемых видов деятельности</v>
      </c>
      <c r="N80" s="472"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537" t="s">
        <v>149</v>
      </c>
      <c r="P80" s="537"/>
      <c r="Q80" s="537"/>
      <c r="R80" s="537"/>
      <c r="S80" s="537"/>
      <c r="T80" s="471" t="s">
        <v>2149</v>
      </c>
      <c r="U80" s="471"/>
      <c r="V80" s="471"/>
      <c r="W80" s="471"/>
      <c r="X80" s="471"/>
      <c r="Y80" s="573"/>
      <c r="Z80" s="474" t="s">
        <v>2150</v>
      </c>
      <c r="AA80" s="477"/>
      <c r="AB80" s="474"/>
      <c r="AC80" s="474"/>
      <c r="AD80" s="474"/>
    </row>
    <row r="81" spans="1:30" ht="36" customHeight="1">
      <c r="A81" s="473"/>
      <c r="B81" s="512">
        <v>64</v>
      </c>
      <c r="C81" s="471" t="s">
        <v>2126</v>
      </c>
      <c r="D81" s="547"/>
      <c r="E81" s="471"/>
      <c r="F81" s="471"/>
      <c r="G81" s="471"/>
      <c r="H81" s="507"/>
      <c r="I81" s="576" t="str">
        <f t="shared" si="7"/>
        <v>9.1</v>
      </c>
      <c r="J81" s="576" t="str">
        <f t="shared" si="8"/>
        <v>Объем приобретаемой регулируемой организацией тепловой энергии в рамках осуществления регулируемых видов деятельности</v>
      </c>
      <c r="K81" s="576" t="str">
        <f t="shared" si="9"/>
        <v>Информация указывается только едиными теплоснабжающими организациями.</v>
      </c>
      <c r="L81" s="472" t="str">
        <f t="shared" si="10"/>
        <v>9.1</v>
      </c>
      <c r="M81" s="472" t="str">
        <f t="shared" si="11"/>
        <v>Объем приобретаемой регулируемой организацией тепловой энергии в рамках осуществления регулируемых видов деятельности</v>
      </c>
      <c r="N81" s="472" t="str">
        <f t="shared" si="12"/>
        <v>Информация указывается только едиными теплоснабжающими организациями.</v>
      </c>
      <c r="O81" s="537" t="s">
        <v>2029</v>
      </c>
      <c r="P81" s="537"/>
      <c r="Q81" s="537"/>
      <c r="R81" s="537"/>
      <c r="S81" s="537"/>
      <c r="T81" s="471" t="s">
        <v>2151</v>
      </c>
      <c r="U81" s="471"/>
      <c r="V81" s="471"/>
      <c r="W81" s="471"/>
      <c r="X81" s="471"/>
      <c r="Y81" s="573"/>
      <c r="Z81" s="474" t="s">
        <v>2152</v>
      </c>
      <c r="AA81" s="477"/>
      <c r="AB81" s="474"/>
      <c r="AC81" s="474"/>
      <c r="AD81" s="474"/>
    </row>
    <row r="82" spans="1:30" ht="90" customHeight="1">
      <c r="A82" s="473"/>
      <c r="B82" s="512">
        <v>65</v>
      </c>
      <c r="C82" s="471" t="s">
        <v>2135</v>
      </c>
      <c r="D82" s="547"/>
      <c r="E82" s="471"/>
      <c r="F82" s="471"/>
      <c r="G82" s="471"/>
      <c r="H82" s="507"/>
      <c r="I82" s="576" t="str">
        <f t="shared" ref="I82:I101" si="13">INDEX(TEMPLATE_NUMBER_POINT_FHD,B82,MATCH(TEMPLATE_SPHERE,TEMPLATE_SPHERE_LIST_FOR_NOTE,0))</f>
        <v>10</v>
      </c>
      <c r="J82" s="57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57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472" t="str">
        <f t="shared" ref="L82:L101" si="16">IF(I82=0,"",I82)</f>
        <v>10</v>
      </c>
      <c r="M82" s="472"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472"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537" t="s">
        <v>150</v>
      </c>
      <c r="P82" s="537"/>
      <c r="Q82" s="537"/>
      <c r="R82" s="537"/>
      <c r="S82" s="537"/>
      <c r="T82" s="471" t="s">
        <v>2153</v>
      </c>
      <c r="U82" s="471"/>
      <c r="V82" s="471"/>
      <c r="W82" s="471"/>
      <c r="X82" s="471"/>
      <c r="Y82" s="573"/>
      <c r="Z82" s="474" t="s">
        <v>2154</v>
      </c>
      <c r="AA82" s="477"/>
      <c r="AB82" s="474"/>
      <c r="AC82" s="474"/>
      <c r="AD82" s="474"/>
    </row>
    <row r="83" spans="1:30" ht="9" customHeight="1">
      <c r="A83" s="473"/>
      <c r="B83" s="512">
        <v>66</v>
      </c>
      <c r="C83" s="471"/>
      <c r="D83" s="547"/>
      <c r="E83" s="471"/>
      <c r="F83" s="471"/>
      <c r="G83" s="471"/>
      <c r="H83" s="507"/>
      <c r="I83" s="576" t="str">
        <f t="shared" si="13"/>
        <v>10.1</v>
      </c>
      <c r="J83" s="576" t="str">
        <f t="shared" si="14"/>
        <v xml:space="preserve">По приборам учёта </v>
      </c>
      <c r="K83" s="576">
        <f t="shared" si="15"/>
        <v>0</v>
      </c>
      <c r="L83" s="472" t="str">
        <f t="shared" si="16"/>
        <v>10.1</v>
      </c>
      <c r="M83" s="472" t="str">
        <f t="shared" si="17"/>
        <v xml:space="preserve">По приборам учёта </v>
      </c>
      <c r="N83" s="472" t="str">
        <f t="shared" si="18"/>
        <v/>
      </c>
      <c r="O83" s="537" t="s">
        <v>2038</v>
      </c>
      <c r="P83" s="537"/>
      <c r="Q83" s="537"/>
      <c r="R83" s="537"/>
      <c r="S83" s="537"/>
      <c r="T83" s="471" t="s">
        <v>2155</v>
      </c>
      <c r="U83" s="471"/>
      <c r="V83" s="471"/>
      <c r="W83" s="471"/>
      <c r="X83" s="471"/>
      <c r="Y83" s="573"/>
      <c r="Z83" s="474"/>
      <c r="AA83" s="477"/>
      <c r="AB83" s="474"/>
      <c r="AC83" s="474"/>
      <c r="AD83" s="474"/>
    </row>
    <row r="84" spans="1:30" ht="54" customHeight="1">
      <c r="A84" s="473"/>
      <c r="B84" s="512">
        <v>67</v>
      </c>
      <c r="C84" s="471"/>
      <c r="D84" s="547"/>
      <c r="E84" s="471"/>
      <c r="F84" s="471"/>
      <c r="G84" s="471"/>
      <c r="H84" s="507"/>
      <c r="I84" s="576" t="str">
        <f t="shared" si="13"/>
        <v>10.1.1</v>
      </c>
      <c r="J84" s="57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576">
        <f t="shared" si="15"/>
        <v>0</v>
      </c>
      <c r="L84" s="472" t="str">
        <f t="shared" si="16"/>
        <v>10.1.1</v>
      </c>
      <c r="M84" s="472"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472" t="str">
        <f t="shared" si="18"/>
        <v/>
      </c>
      <c r="O84" s="537" t="s">
        <v>2156</v>
      </c>
      <c r="P84" s="537"/>
      <c r="Q84" s="537"/>
      <c r="R84" s="537"/>
      <c r="S84" s="537"/>
      <c r="T84" s="471" t="s">
        <v>2157</v>
      </c>
      <c r="U84" s="471"/>
      <c r="V84" s="471"/>
      <c r="W84" s="471"/>
      <c r="X84" s="471"/>
      <c r="Y84" s="573"/>
      <c r="Z84" s="474"/>
      <c r="AA84" s="477"/>
      <c r="AB84" s="474"/>
      <c r="AC84" s="474"/>
      <c r="AD84" s="474"/>
    </row>
    <row r="85" spans="1:30" ht="9" customHeight="1">
      <c r="A85" s="473"/>
      <c r="B85" s="512">
        <v>68</v>
      </c>
      <c r="C85" s="471"/>
      <c r="D85" s="547"/>
      <c r="E85" s="471"/>
      <c r="F85" s="471"/>
      <c r="G85" s="471"/>
      <c r="H85" s="507"/>
      <c r="I85" s="576" t="str">
        <f t="shared" si="13"/>
        <v>10.2</v>
      </c>
      <c r="J85" s="576" t="str">
        <f t="shared" si="14"/>
        <v>Расчётным путём</v>
      </c>
      <c r="K85" s="576">
        <f t="shared" si="15"/>
        <v>0</v>
      </c>
      <c r="L85" s="472" t="str">
        <f t="shared" si="16"/>
        <v>10.2</v>
      </c>
      <c r="M85" s="472" t="str">
        <f t="shared" si="17"/>
        <v>Расчётным путём</v>
      </c>
      <c r="N85" s="472" t="str">
        <f t="shared" si="18"/>
        <v/>
      </c>
      <c r="O85" s="537" t="s">
        <v>2042</v>
      </c>
      <c r="P85" s="537"/>
      <c r="Q85" s="537"/>
      <c r="R85" s="537"/>
      <c r="S85" s="537"/>
      <c r="T85" s="471" t="s">
        <v>2158</v>
      </c>
      <c r="U85" s="471"/>
      <c r="V85" s="471"/>
      <c r="W85" s="471"/>
      <c r="X85" s="471"/>
      <c r="Y85" s="573"/>
      <c r="Z85" s="474"/>
      <c r="AA85" s="477"/>
      <c r="AB85" s="474"/>
      <c r="AC85" s="474"/>
      <c r="AD85" s="474"/>
    </row>
    <row r="86" spans="1:30" ht="27" customHeight="1">
      <c r="A86" s="473"/>
      <c r="B86" s="512">
        <v>69</v>
      </c>
      <c r="C86" s="471"/>
      <c r="D86" s="547"/>
      <c r="E86" s="471"/>
      <c r="F86" s="471"/>
      <c r="G86" s="471"/>
      <c r="H86" s="507"/>
      <c r="I86" s="576" t="str">
        <f t="shared" si="13"/>
        <v>10.3</v>
      </c>
      <c r="J86" s="576" t="str">
        <f t="shared" si="14"/>
        <v>По нормативам потребления коммунальных услуг и нормативам потребления коммунальных ресурсов</v>
      </c>
      <c r="K86" s="576">
        <f t="shared" si="15"/>
        <v>0</v>
      </c>
      <c r="L86" s="472" t="str">
        <f t="shared" si="16"/>
        <v>10.3</v>
      </c>
      <c r="M86" s="472" t="str">
        <f t="shared" si="17"/>
        <v>По нормативам потребления коммунальных услуг и нормативам потребления коммунальных ресурсов</v>
      </c>
      <c r="N86" s="472" t="str">
        <f t="shared" si="18"/>
        <v/>
      </c>
      <c r="O86" s="537" t="s">
        <v>2159</v>
      </c>
      <c r="P86" s="537"/>
      <c r="Q86" s="537"/>
      <c r="R86" s="537"/>
      <c r="S86" s="537"/>
      <c r="T86" s="471" t="s">
        <v>2160</v>
      </c>
      <c r="U86" s="471"/>
      <c r="V86" s="471"/>
      <c r="W86" s="471"/>
      <c r="X86" s="471"/>
      <c r="Y86" s="573"/>
      <c r="Z86" s="474"/>
      <c r="AA86" s="477"/>
      <c r="AB86" s="474"/>
      <c r="AC86" s="474"/>
      <c r="AD86" s="474"/>
    </row>
    <row r="87" spans="1:30" ht="36" customHeight="1">
      <c r="A87" s="473"/>
      <c r="B87" s="512">
        <v>70</v>
      </c>
      <c r="C87" s="471" t="s">
        <v>2161</v>
      </c>
      <c r="D87" s="547"/>
      <c r="E87" s="471"/>
      <c r="F87" s="471"/>
      <c r="G87" s="471"/>
      <c r="H87" s="507"/>
      <c r="I87" s="576" t="str">
        <f t="shared" si="13"/>
        <v>11</v>
      </c>
      <c r="J87" s="57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576">
        <f t="shared" si="15"/>
        <v>0</v>
      </c>
      <c r="L87" s="472" t="str">
        <f t="shared" si="16"/>
        <v>11</v>
      </c>
      <c r="M87" s="472"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472" t="str">
        <f t="shared" si="18"/>
        <v/>
      </c>
      <c r="O87" s="537" t="s">
        <v>151</v>
      </c>
      <c r="P87" s="537"/>
      <c r="Q87" s="537"/>
      <c r="R87" s="537"/>
      <c r="S87" s="537"/>
      <c r="T87" s="471" t="s">
        <v>2162</v>
      </c>
      <c r="U87" s="471"/>
      <c r="V87" s="471"/>
      <c r="W87" s="471"/>
      <c r="X87" s="471"/>
      <c r="Y87" s="573"/>
      <c r="Z87" s="474"/>
      <c r="AA87" s="477"/>
      <c r="AB87" s="474"/>
      <c r="AC87" s="474"/>
      <c r="AD87" s="474"/>
    </row>
    <row r="88" spans="1:30" ht="18" customHeight="1">
      <c r="A88" s="473"/>
      <c r="B88" s="512">
        <v>71</v>
      </c>
      <c r="C88" s="471" t="s">
        <v>2163</v>
      </c>
      <c r="D88" s="547"/>
      <c r="E88" s="471"/>
      <c r="F88" s="471"/>
      <c r="G88" s="471"/>
      <c r="H88" s="507"/>
      <c r="I88" s="576" t="str">
        <f t="shared" si="13"/>
        <v>12</v>
      </c>
      <c r="J88" s="576" t="str">
        <f t="shared" si="14"/>
        <v>Фактический объем потерь при передаче тепловой энергии</v>
      </c>
      <c r="K88" s="576">
        <f t="shared" si="15"/>
        <v>0</v>
      </c>
      <c r="L88" s="472" t="str">
        <f t="shared" si="16"/>
        <v>12</v>
      </c>
      <c r="M88" s="472" t="str">
        <f t="shared" si="17"/>
        <v>Фактический объем потерь при передаче тепловой энергии</v>
      </c>
      <c r="N88" s="472" t="str">
        <f t="shared" si="18"/>
        <v/>
      </c>
      <c r="O88" s="537" t="s">
        <v>152</v>
      </c>
      <c r="P88" s="537"/>
      <c r="Q88" s="537"/>
      <c r="R88" s="537"/>
      <c r="S88" s="537"/>
      <c r="T88" s="471" t="s">
        <v>2164</v>
      </c>
      <c r="U88" s="471"/>
      <c r="V88" s="471"/>
      <c r="W88" s="471"/>
      <c r="X88" s="471"/>
      <c r="Y88" s="573"/>
      <c r="Z88" s="474"/>
      <c r="AA88" s="477"/>
      <c r="AB88" s="474"/>
      <c r="AC88" s="474"/>
      <c r="AD88" s="474"/>
    </row>
    <row r="89" spans="1:30" ht="18" customHeight="1">
      <c r="A89" s="473"/>
      <c r="B89" s="512">
        <v>72</v>
      </c>
      <c r="C89" s="471" t="s">
        <v>2165</v>
      </c>
      <c r="D89" s="547" t="s">
        <v>2161</v>
      </c>
      <c r="E89" s="471" t="s">
        <v>2161</v>
      </c>
      <c r="F89" s="471" t="s">
        <v>2126</v>
      </c>
      <c r="G89" s="471"/>
      <c r="H89" s="507"/>
      <c r="I89" s="576" t="str">
        <f t="shared" si="13"/>
        <v>13</v>
      </c>
      <c r="J89" s="576" t="str">
        <f t="shared" si="14"/>
        <v>Среднесписочная численность основного производственного персонала</v>
      </c>
      <c r="K89" s="576">
        <f t="shared" si="15"/>
        <v>0</v>
      </c>
      <c r="L89" s="472" t="str">
        <f t="shared" si="16"/>
        <v>13</v>
      </c>
      <c r="M89" s="472" t="str">
        <f t="shared" si="17"/>
        <v>Среднесписочная численность основного производственного персонала</v>
      </c>
      <c r="N89" s="472" t="str">
        <f t="shared" si="18"/>
        <v/>
      </c>
      <c r="O89" s="537" t="s">
        <v>153</v>
      </c>
      <c r="P89" s="537" t="s">
        <v>152</v>
      </c>
      <c r="Q89" s="537" t="s">
        <v>152</v>
      </c>
      <c r="R89" s="537" t="s">
        <v>150</v>
      </c>
      <c r="S89" s="537"/>
      <c r="T89" s="471" t="s">
        <v>2166</v>
      </c>
      <c r="U89" s="471" t="s">
        <v>2166</v>
      </c>
      <c r="V89" s="471" t="s">
        <v>2166</v>
      </c>
      <c r="W89" s="471" t="s">
        <v>2166</v>
      </c>
      <c r="X89" s="471"/>
      <c r="Y89" s="573"/>
      <c r="Z89" s="474"/>
      <c r="AA89" s="477"/>
      <c r="AB89" s="474"/>
      <c r="AC89" s="474"/>
      <c r="AD89" s="474"/>
    </row>
    <row r="90" spans="1:30" ht="27" customHeight="1">
      <c r="A90" s="473"/>
      <c r="B90" s="512">
        <v>73</v>
      </c>
      <c r="C90" s="471" t="s">
        <v>2167</v>
      </c>
      <c r="D90" s="547"/>
      <c r="E90" s="471"/>
      <c r="F90" s="471"/>
      <c r="G90" s="471"/>
      <c r="H90" s="507"/>
      <c r="I90" s="576" t="str">
        <f t="shared" si="13"/>
        <v>14</v>
      </c>
      <c r="J90" s="576" t="str">
        <f t="shared" si="14"/>
        <v>Среднесписочная численность административно-управленческого персонала</v>
      </c>
      <c r="K90" s="576">
        <f t="shared" si="15"/>
        <v>0</v>
      </c>
      <c r="L90" s="472" t="str">
        <f t="shared" si="16"/>
        <v>14</v>
      </c>
      <c r="M90" s="472" t="str">
        <f t="shared" si="17"/>
        <v>Среднесписочная численность административно-управленческого персонала</v>
      </c>
      <c r="N90" s="472" t="str">
        <f t="shared" si="18"/>
        <v/>
      </c>
      <c r="O90" s="537" t="s">
        <v>154</v>
      </c>
      <c r="P90" s="537"/>
      <c r="Q90" s="537"/>
      <c r="R90" s="537"/>
      <c r="S90" s="537"/>
      <c r="T90" s="471" t="s">
        <v>2168</v>
      </c>
      <c r="U90" s="471"/>
      <c r="V90" s="471"/>
      <c r="W90" s="471"/>
      <c r="X90" s="471"/>
      <c r="Y90" s="573"/>
      <c r="Z90" s="474"/>
      <c r="AA90" s="477"/>
      <c r="AB90" s="474"/>
      <c r="AC90" s="474"/>
      <c r="AD90" s="474"/>
    </row>
    <row r="91" spans="1:30" ht="18" customHeight="1">
      <c r="A91" s="473"/>
      <c r="B91" s="512">
        <v>74</v>
      </c>
      <c r="C91" s="471"/>
      <c r="D91" s="547" t="s">
        <v>2163</v>
      </c>
      <c r="E91" s="471" t="s">
        <v>2163</v>
      </c>
      <c r="F91" s="471"/>
      <c r="G91" s="471"/>
      <c r="H91" s="507"/>
      <c r="I91" s="576">
        <f t="shared" si="13"/>
        <v>0</v>
      </c>
      <c r="J91" s="576">
        <f t="shared" si="14"/>
        <v>0</v>
      </c>
      <c r="K91" s="576">
        <f t="shared" si="15"/>
        <v>0</v>
      </c>
      <c r="L91" s="472" t="str">
        <f t="shared" si="16"/>
        <v/>
      </c>
      <c r="M91" s="472" t="str">
        <f t="shared" si="17"/>
        <v/>
      </c>
      <c r="N91" s="472" t="str">
        <f t="shared" si="18"/>
        <v/>
      </c>
      <c r="O91" s="537"/>
      <c r="P91" s="537" t="s">
        <v>153</v>
      </c>
      <c r="Q91" s="537" t="s">
        <v>153</v>
      </c>
      <c r="R91" s="537"/>
      <c r="S91" s="537"/>
      <c r="T91" s="471"/>
      <c r="U91" s="471" t="s">
        <v>2169</v>
      </c>
      <c r="V91" s="471" t="s">
        <v>2169</v>
      </c>
      <c r="W91" s="471"/>
      <c r="X91" s="471"/>
      <c r="Y91" s="573"/>
      <c r="Z91" s="474"/>
      <c r="AA91" s="477"/>
      <c r="AB91" s="474"/>
      <c r="AC91" s="474"/>
      <c r="AD91" s="474"/>
    </row>
    <row r="92" spans="1:30" ht="27" customHeight="1">
      <c r="A92" s="473"/>
      <c r="B92" s="512">
        <v>75</v>
      </c>
      <c r="C92" s="471"/>
      <c r="D92" s="547" t="s">
        <v>2165</v>
      </c>
      <c r="E92" s="471"/>
      <c r="F92" s="471"/>
      <c r="G92" s="471"/>
      <c r="H92" s="507"/>
      <c r="I92" s="576">
        <f t="shared" si="13"/>
        <v>0</v>
      </c>
      <c r="J92" s="576">
        <f t="shared" si="14"/>
        <v>0</v>
      </c>
      <c r="K92" s="576">
        <f t="shared" si="15"/>
        <v>0</v>
      </c>
      <c r="L92" s="472" t="str">
        <f t="shared" si="16"/>
        <v/>
      </c>
      <c r="M92" s="472" t="str">
        <f t="shared" si="17"/>
        <v/>
      </c>
      <c r="N92" s="472" t="str">
        <f t="shared" si="18"/>
        <v/>
      </c>
      <c r="O92" s="537"/>
      <c r="P92" s="537" t="s">
        <v>154</v>
      </c>
      <c r="Q92" s="537"/>
      <c r="R92" s="537"/>
      <c r="S92" s="537"/>
      <c r="T92" s="471"/>
      <c r="U92" s="471" t="s">
        <v>2170</v>
      </c>
      <c r="V92" s="471"/>
      <c r="W92" s="471"/>
      <c r="X92" s="471"/>
      <c r="Y92" s="573"/>
      <c r="Z92" s="474"/>
      <c r="AA92" s="477" t="s">
        <v>2171</v>
      </c>
      <c r="AB92" s="474"/>
      <c r="AC92" s="474"/>
      <c r="AD92" s="474"/>
    </row>
    <row r="93" spans="1:30" ht="27" customHeight="1">
      <c r="A93" s="473"/>
      <c r="B93" s="512">
        <v>76</v>
      </c>
      <c r="C93" s="471"/>
      <c r="D93" s="547"/>
      <c r="E93" s="471"/>
      <c r="F93" s="471"/>
      <c r="G93" s="471"/>
      <c r="H93" s="507"/>
      <c r="I93" s="576">
        <f t="shared" si="13"/>
        <v>0</v>
      </c>
      <c r="J93" s="576">
        <f t="shared" si="14"/>
        <v>0</v>
      </c>
      <c r="K93" s="576">
        <f t="shared" si="15"/>
        <v>0</v>
      </c>
      <c r="L93" s="472" t="str">
        <f t="shared" si="16"/>
        <v/>
      </c>
      <c r="M93" s="472" t="str">
        <f t="shared" si="17"/>
        <v/>
      </c>
      <c r="N93" s="472" t="str">
        <f t="shared" si="18"/>
        <v/>
      </c>
      <c r="O93" s="537"/>
      <c r="P93" s="537" t="s">
        <v>2070</v>
      </c>
      <c r="Q93" s="537"/>
      <c r="R93" s="537"/>
      <c r="S93" s="537"/>
      <c r="T93" s="471"/>
      <c r="U93" s="471" t="s">
        <v>2172</v>
      </c>
      <c r="V93" s="471"/>
      <c r="W93" s="471"/>
      <c r="X93" s="471"/>
      <c r="Y93" s="573"/>
      <c r="Z93" s="474"/>
      <c r="AA93" s="477" t="s">
        <v>2173</v>
      </c>
      <c r="AB93" s="474"/>
      <c r="AC93" s="474"/>
      <c r="AD93" s="474"/>
    </row>
    <row r="94" spans="1:30" ht="45" customHeight="1">
      <c r="A94" s="473"/>
      <c r="B94" s="512">
        <v>77</v>
      </c>
      <c r="C94" s="471"/>
      <c r="D94" s="547" t="s">
        <v>2167</v>
      </c>
      <c r="E94" s="471"/>
      <c r="F94" s="471"/>
      <c r="G94" s="471"/>
      <c r="H94" s="507"/>
      <c r="I94" s="576">
        <f t="shared" si="13"/>
        <v>0</v>
      </c>
      <c r="J94" s="576">
        <f t="shared" si="14"/>
        <v>0</v>
      </c>
      <c r="K94" s="576">
        <f t="shared" si="15"/>
        <v>0</v>
      </c>
      <c r="L94" s="472" t="str">
        <f t="shared" si="16"/>
        <v/>
      </c>
      <c r="M94" s="472" t="str">
        <f t="shared" si="17"/>
        <v/>
      </c>
      <c r="N94" s="472" t="str">
        <f t="shared" si="18"/>
        <v/>
      </c>
      <c r="O94" s="537"/>
      <c r="P94" s="537" t="s">
        <v>1430</v>
      </c>
      <c r="Q94" s="537"/>
      <c r="R94" s="537"/>
      <c r="S94" s="537"/>
      <c r="T94" s="471"/>
      <c r="U94" s="471" t="s">
        <v>2174</v>
      </c>
      <c r="V94" s="471"/>
      <c r="W94" s="471"/>
      <c r="X94" s="471"/>
      <c r="Y94" s="573"/>
      <c r="Z94" s="474"/>
      <c r="AA94" s="477" t="s">
        <v>2175</v>
      </c>
      <c r="AB94" s="474"/>
      <c r="AC94" s="474"/>
      <c r="AD94" s="474"/>
    </row>
    <row r="95" spans="1:30" ht="99" customHeight="1">
      <c r="A95" s="473"/>
      <c r="B95" s="512">
        <v>78</v>
      </c>
      <c r="C95" s="471" t="s">
        <v>2176</v>
      </c>
      <c r="D95" s="547"/>
      <c r="E95" s="471"/>
      <c r="F95" s="471"/>
      <c r="G95" s="471"/>
      <c r="H95" s="507"/>
      <c r="I95" s="576" t="str">
        <f t="shared" si="13"/>
        <v>15</v>
      </c>
      <c r="J95" s="57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576">
        <f t="shared" si="15"/>
        <v>0</v>
      </c>
      <c r="L95" s="472" t="str">
        <f t="shared" si="16"/>
        <v>15</v>
      </c>
      <c r="M95" s="472"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472" t="str">
        <f t="shared" si="18"/>
        <v/>
      </c>
      <c r="O95" s="537" t="s">
        <v>1430</v>
      </c>
      <c r="P95" s="537"/>
      <c r="Q95" s="537"/>
      <c r="R95" s="537"/>
      <c r="S95" s="537"/>
      <c r="T95" s="471" t="s">
        <v>2177</v>
      </c>
      <c r="U95" s="471"/>
      <c r="V95" s="471"/>
      <c r="W95" s="471"/>
      <c r="X95" s="471"/>
      <c r="Y95" s="573"/>
      <c r="Z95" s="474"/>
      <c r="AA95" s="477"/>
      <c r="AB95" s="474"/>
      <c r="AC95" s="474"/>
      <c r="AD95" s="474"/>
    </row>
    <row r="96" spans="1:30" ht="99" customHeight="1">
      <c r="A96" s="473"/>
      <c r="B96" s="512">
        <v>79</v>
      </c>
      <c r="C96" s="471" t="s">
        <v>1124</v>
      </c>
      <c r="D96" s="547"/>
      <c r="E96" s="471"/>
      <c r="F96" s="471"/>
      <c r="G96" s="471"/>
      <c r="H96" s="507"/>
      <c r="I96" s="576" t="str">
        <f t="shared" si="13"/>
        <v>16</v>
      </c>
      <c r="J96" s="57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57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472" t="str">
        <f t="shared" si="16"/>
        <v>16</v>
      </c>
      <c r="M96" s="472"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472"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537" t="s">
        <v>1436</v>
      </c>
      <c r="P96" s="537"/>
      <c r="Q96" s="537"/>
      <c r="R96" s="537"/>
      <c r="S96" s="537"/>
      <c r="T96" s="471" t="s">
        <v>2178</v>
      </c>
      <c r="U96" s="471"/>
      <c r="V96" s="471"/>
      <c r="W96" s="471"/>
      <c r="X96" s="471"/>
      <c r="Y96" s="573"/>
      <c r="Z96" s="474" t="s">
        <v>2179</v>
      </c>
      <c r="AA96" s="477"/>
      <c r="AB96" s="474"/>
      <c r="AC96" s="474"/>
      <c r="AD96" s="474"/>
    </row>
    <row r="97" spans="1:30" ht="63" customHeight="1">
      <c r="A97" s="473"/>
      <c r="B97" s="512">
        <v>80</v>
      </c>
      <c r="C97" s="471" t="s">
        <v>2180</v>
      </c>
      <c r="D97" s="547"/>
      <c r="E97" s="471"/>
      <c r="F97" s="471"/>
      <c r="G97" s="471"/>
      <c r="H97" s="507"/>
      <c r="I97" s="576" t="str">
        <f t="shared" si="13"/>
        <v>17</v>
      </c>
      <c r="J97" s="57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576" t="str">
        <f t="shared" si="15"/>
        <v>Регулируемыми организациями указывается информация с по договорам, заключенным в рамках осуществления регулируемой деятельности.</v>
      </c>
      <c r="L97" s="472" t="str">
        <f t="shared" si="16"/>
        <v>17</v>
      </c>
      <c r="M97" s="472"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472" t="str">
        <f t="shared" si="18"/>
        <v>Регулируемыми организациями указывается информация с по договорам, заключенным в рамках осуществления регулируемой деятельности.</v>
      </c>
      <c r="O97" s="537" t="s">
        <v>1448</v>
      </c>
      <c r="P97" s="537"/>
      <c r="Q97" s="537"/>
      <c r="R97" s="537"/>
      <c r="S97" s="537"/>
      <c r="T97" s="471" t="s">
        <v>2181</v>
      </c>
      <c r="U97" s="471"/>
      <c r="V97" s="471"/>
      <c r="W97" s="471"/>
      <c r="X97" s="471"/>
      <c r="Y97" s="573"/>
      <c r="Z97" s="474" t="s">
        <v>2182</v>
      </c>
      <c r="AA97" s="477"/>
      <c r="AB97" s="474"/>
      <c r="AC97" s="474"/>
      <c r="AD97" s="474"/>
    </row>
    <row r="98" spans="1:30" ht="63" customHeight="1">
      <c r="A98" s="473"/>
      <c r="B98" s="512">
        <v>81</v>
      </c>
      <c r="C98" s="471" t="s">
        <v>2183</v>
      </c>
      <c r="D98" s="547"/>
      <c r="E98" s="471"/>
      <c r="F98" s="471"/>
      <c r="G98" s="471"/>
      <c r="H98" s="507"/>
      <c r="I98" s="576" t="str">
        <f t="shared" si="13"/>
        <v>18</v>
      </c>
      <c r="J98" s="57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576" t="str">
        <f t="shared" si="15"/>
        <v>Регулируемыми организациями указывается информация с по договорам, заключенным в рамках осуществления регулируемой деятельности.</v>
      </c>
      <c r="L98" s="472" t="str">
        <f t="shared" si="16"/>
        <v>18</v>
      </c>
      <c r="M98" s="472"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472" t="str">
        <f t="shared" si="18"/>
        <v>Регулируемыми организациями указывается информация с по договорам, заключенным в рамках осуществления регулируемой деятельности.</v>
      </c>
      <c r="O98" s="537" t="s">
        <v>1462</v>
      </c>
      <c r="P98" s="537"/>
      <c r="Q98" s="537"/>
      <c r="R98" s="537"/>
      <c r="S98" s="537"/>
      <c r="T98" s="471" t="s">
        <v>2184</v>
      </c>
      <c r="U98" s="471"/>
      <c r="V98" s="471"/>
      <c r="W98" s="471"/>
      <c r="X98" s="471"/>
      <c r="Y98" s="573"/>
      <c r="Z98" s="474" t="s">
        <v>2182</v>
      </c>
      <c r="AA98" s="477"/>
      <c r="AB98" s="474"/>
      <c r="AC98" s="474"/>
      <c r="AD98" s="474"/>
    </row>
    <row r="99" spans="1:30" ht="90" customHeight="1">
      <c r="A99" s="473"/>
      <c r="B99" s="512">
        <v>82</v>
      </c>
      <c r="C99" s="471" t="s">
        <v>2185</v>
      </c>
      <c r="D99" s="547"/>
      <c r="E99" s="471"/>
      <c r="F99" s="471"/>
      <c r="G99" s="471"/>
      <c r="H99" s="507"/>
      <c r="I99" s="576" t="str">
        <f t="shared" si="13"/>
        <v>19</v>
      </c>
      <c r="J99" s="57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576" t="str">
        <f t="shared" si="15"/>
        <v>Указывается ссылка на документ, предварительно загруженный в хранилище файлов ФГИС ЕИАС.</v>
      </c>
      <c r="L99" s="472" t="str">
        <f t="shared" si="16"/>
        <v>19</v>
      </c>
      <c r="M99" s="472"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472" t="str">
        <f t="shared" si="18"/>
        <v>Указывается ссылка на документ, предварительно загруженный в хранилище файлов ФГИС ЕИАС.</v>
      </c>
      <c r="O99" s="537" t="s">
        <v>1474</v>
      </c>
      <c r="P99" s="537"/>
      <c r="Q99" s="537"/>
      <c r="R99" s="537"/>
      <c r="S99" s="537"/>
      <c r="T99" s="471" t="s">
        <v>2186</v>
      </c>
      <c r="U99" s="471"/>
      <c r="V99" s="471"/>
      <c r="W99" s="471"/>
      <c r="X99" s="471"/>
      <c r="Y99" s="573"/>
      <c r="Z99" s="474" t="s">
        <v>809</v>
      </c>
      <c r="AA99" s="477"/>
      <c r="AB99" s="474"/>
      <c r="AC99" s="474"/>
      <c r="AD99" s="474"/>
    </row>
    <row r="100" spans="1:30" ht="27" customHeight="1">
      <c r="A100" s="473"/>
      <c r="B100" s="512">
        <v>83</v>
      </c>
      <c r="C100" s="471"/>
      <c r="D100" s="547"/>
      <c r="E100" s="471"/>
      <c r="F100" s="471"/>
      <c r="G100" s="471"/>
      <c r="H100" s="507"/>
      <c r="I100" s="576" t="str">
        <f t="shared" si="13"/>
        <v>19.1</v>
      </c>
      <c r="J100" s="576" t="str">
        <f t="shared" si="14"/>
        <v>Информация о показателях физического износа объектов теплоснабжения</v>
      </c>
      <c r="K100" s="576" t="str">
        <f t="shared" si="15"/>
        <v>Указывается ссылка на документ, предварительно загруженный в хранилище файлов ФГИС ЕИАС.</v>
      </c>
      <c r="L100" s="472" t="str">
        <f t="shared" si="16"/>
        <v>19.1</v>
      </c>
      <c r="M100" s="472" t="str">
        <f t="shared" si="17"/>
        <v>Информация о показателях физического износа объектов теплоснабжения</v>
      </c>
      <c r="N100" s="472" t="str">
        <f t="shared" si="18"/>
        <v>Указывается ссылка на документ, предварительно загруженный в хранилище файлов ФГИС ЕИАС.</v>
      </c>
      <c r="O100" s="537" t="s">
        <v>2187</v>
      </c>
      <c r="P100" s="537"/>
      <c r="Q100" s="537"/>
      <c r="R100" s="537"/>
      <c r="S100" s="537"/>
      <c r="T100" s="471" t="s">
        <v>2188</v>
      </c>
      <c r="U100" s="471"/>
      <c r="V100" s="471"/>
      <c r="W100" s="471"/>
      <c r="X100" s="471"/>
      <c r="Y100" s="573"/>
      <c r="Z100" s="474" t="s">
        <v>809</v>
      </c>
      <c r="AA100" s="477"/>
      <c r="AB100" s="474"/>
      <c r="AC100" s="474"/>
      <c r="AD100" s="474"/>
    </row>
    <row r="101" spans="1:30" ht="27" customHeight="1">
      <c r="A101" s="473"/>
      <c r="B101" s="512">
        <v>84</v>
      </c>
      <c r="C101" s="471"/>
      <c r="D101" s="547"/>
      <c r="E101" s="471"/>
      <c r="F101" s="471"/>
      <c r="G101" s="471"/>
      <c r="H101" s="507"/>
      <c r="I101" s="576" t="str">
        <f t="shared" si="13"/>
        <v>19.2</v>
      </c>
      <c r="J101" s="576" t="str">
        <f t="shared" si="14"/>
        <v>Информация о показателях энергетической эффективности объектов теплоснабжения</v>
      </c>
      <c r="K101" s="576" t="str">
        <f t="shared" si="15"/>
        <v>Указывается ссылка на документ, предварительно загруженный в хранилище файлов ФГИС ЕИАС.</v>
      </c>
      <c r="L101" s="472" t="str">
        <f t="shared" si="16"/>
        <v>19.2</v>
      </c>
      <c r="M101" s="472" t="str">
        <f t="shared" si="17"/>
        <v>Информация о показателях энергетической эффективности объектов теплоснабжения</v>
      </c>
      <c r="N101" s="472" t="str">
        <f t="shared" si="18"/>
        <v>Указывается ссылка на документ, предварительно загруженный в хранилище файлов ФГИС ЕИАС.</v>
      </c>
      <c r="O101" s="537" t="s">
        <v>2189</v>
      </c>
      <c r="P101" s="537"/>
      <c r="Q101" s="537"/>
      <c r="R101" s="537"/>
      <c r="S101" s="537"/>
      <c r="T101" s="471" t="s">
        <v>2190</v>
      </c>
      <c r="U101" s="471"/>
      <c r="V101" s="471"/>
      <c r="W101" s="471"/>
      <c r="X101" s="471"/>
      <c r="Y101" s="573"/>
      <c r="Z101" s="474" t="s">
        <v>809</v>
      </c>
      <c r="AA101" s="477"/>
      <c r="AB101" s="474"/>
      <c r="AC101" s="474"/>
      <c r="AD101" s="474"/>
    </row>
    <row r="102" spans="1:30" ht="9" customHeight="1">
      <c r="A102" s="473"/>
      <c r="B102" s="473"/>
      <c r="C102" s="471"/>
      <c r="D102" s="471"/>
      <c r="E102" s="471"/>
      <c r="F102" s="471"/>
      <c r="G102" s="471"/>
      <c r="H102" s="507"/>
      <c r="I102" s="507"/>
      <c r="J102" s="507"/>
      <c r="K102" s="507"/>
      <c r="L102" s="507"/>
      <c r="M102" s="471"/>
      <c r="N102" s="506"/>
      <c r="O102" s="537"/>
      <c r="P102" s="537"/>
      <c r="Q102" s="537"/>
      <c r="R102" s="537"/>
      <c r="S102" s="471"/>
      <c r="T102" s="471"/>
      <c r="U102" s="471"/>
      <c r="V102" s="471"/>
      <c r="W102" s="471"/>
      <c r="X102" s="471"/>
      <c r="Y102" s="573"/>
      <c r="Z102" s="474"/>
      <c r="AA102" s="477"/>
      <c r="AB102" s="474"/>
      <c r="AC102" s="474"/>
      <c r="AD102" s="474"/>
    </row>
    <row r="103" spans="1:30" ht="9" customHeight="1">
      <c r="A103" s="473"/>
      <c r="B103" s="473"/>
      <c r="C103" s="471"/>
      <c r="D103" s="471"/>
      <c r="E103" s="471"/>
      <c r="F103" s="471"/>
      <c r="G103" s="471"/>
      <c r="H103" s="507"/>
      <c r="I103" s="507"/>
      <c r="J103" s="507"/>
      <c r="K103" s="507"/>
      <c r="L103" s="507"/>
      <c r="M103" s="471"/>
      <c r="N103" s="506"/>
      <c r="O103" s="537"/>
      <c r="P103" s="537"/>
      <c r="Q103" s="537"/>
      <c r="R103" s="537"/>
      <c r="S103" s="471"/>
      <c r="T103" s="471"/>
      <c r="U103" s="471"/>
      <c r="V103" s="471"/>
      <c r="W103" s="471"/>
      <c r="X103" s="471"/>
      <c r="Y103" s="573"/>
      <c r="Z103" s="474"/>
      <c r="AA103" s="477"/>
      <c r="AB103" s="474"/>
      <c r="AC103" s="474"/>
      <c r="AD103" s="474"/>
    </row>
    <row r="104" spans="1:30" ht="9" customHeight="1">
      <c r="A104" s="473"/>
      <c r="B104" s="473"/>
      <c r="C104" s="471"/>
      <c r="D104" s="471"/>
      <c r="E104" s="471"/>
      <c r="F104" s="471"/>
      <c r="G104" s="471"/>
      <c r="H104" s="507"/>
      <c r="I104" s="507"/>
      <c r="J104" s="507"/>
      <c r="K104" s="507"/>
      <c r="L104" s="507"/>
      <c r="M104" s="471"/>
      <c r="N104" s="506"/>
      <c r="O104" s="537"/>
      <c r="P104" s="537"/>
      <c r="Q104" s="537"/>
      <c r="R104" s="537"/>
      <c r="S104" s="471"/>
      <c r="T104" s="471"/>
      <c r="U104" s="471"/>
      <c r="V104" s="471"/>
      <c r="W104" s="471"/>
      <c r="X104" s="471"/>
      <c r="Y104" s="573"/>
      <c r="Z104" s="474"/>
      <c r="AA104" s="477"/>
      <c r="AB104" s="474"/>
      <c r="AC104" s="474"/>
      <c r="AD104" s="474"/>
    </row>
    <row r="105" spans="1:30" ht="9" customHeight="1">
      <c r="A105" s="473"/>
      <c r="B105" s="473"/>
      <c r="C105" s="471"/>
      <c r="D105" s="471"/>
      <c r="E105" s="471"/>
      <c r="F105" s="471"/>
      <c r="G105" s="471"/>
      <c r="H105" s="507"/>
      <c r="I105" s="507"/>
      <c r="J105" s="507"/>
      <c r="K105" s="507"/>
      <c r="L105" s="507"/>
      <c r="M105" s="471"/>
      <c r="N105" s="506"/>
      <c r="O105" s="537"/>
      <c r="P105" s="537"/>
      <c r="Q105" s="537"/>
      <c r="R105" s="537"/>
      <c r="S105" s="471"/>
      <c r="T105" s="471"/>
      <c r="U105" s="471"/>
      <c r="V105" s="471"/>
      <c r="W105" s="471"/>
      <c r="X105" s="471"/>
      <c r="Y105" s="573"/>
      <c r="Z105" s="474"/>
      <c r="AA105" s="477"/>
      <c r="AB105" s="474"/>
      <c r="AC105" s="474"/>
      <c r="AD105" s="474"/>
    </row>
    <row r="106" spans="1:30" ht="9" customHeight="1">
      <c r="A106" s="473"/>
      <c r="B106" s="473"/>
      <c r="C106" s="471"/>
      <c r="D106" s="471"/>
      <c r="E106" s="471"/>
      <c r="F106" s="471"/>
      <c r="G106" s="471"/>
      <c r="H106" s="507"/>
      <c r="I106" s="507"/>
      <c r="J106" s="507"/>
      <c r="K106" s="507"/>
      <c r="L106" s="507"/>
      <c r="M106" s="471"/>
      <c r="N106" s="506"/>
      <c r="O106" s="537"/>
      <c r="P106" s="537"/>
      <c r="Q106" s="537"/>
      <c r="R106" s="537"/>
      <c r="S106" s="471"/>
      <c r="T106" s="471"/>
      <c r="U106" s="471"/>
      <c r="V106" s="471"/>
      <c r="W106" s="471"/>
      <c r="X106" s="471"/>
      <c r="Y106" s="573"/>
      <c r="Z106" s="474"/>
      <c r="AA106" s="477"/>
      <c r="AB106" s="474"/>
      <c r="AC106" s="474"/>
      <c r="AD106" s="474"/>
    </row>
    <row r="107" spans="1:30" ht="9" customHeight="1">
      <c r="A107" s="473"/>
      <c r="B107" s="473"/>
      <c r="C107" s="471"/>
      <c r="D107" s="471"/>
      <c r="E107" s="471"/>
      <c r="F107" s="471"/>
      <c r="G107" s="471"/>
      <c r="H107" s="507"/>
      <c r="I107" s="507"/>
      <c r="J107" s="507"/>
      <c r="K107" s="507"/>
      <c r="L107" s="507"/>
      <c r="M107" s="471"/>
      <c r="N107" s="506"/>
      <c r="O107" s="537"/>
      <c r="P107" s="537"/>
      <c r="Q107" s="537"/>
      <c r="R107" s="537"/>
      <c r="S107" s="471"/>
      <c r="T107" s="471"/>
      <c r="U107" s="471"/>
      <c r="V107" s="471"/>
      <c r="W107" s="471"/>
      <c r="X107" s="471"/>
      <c r="Y107" s="573"/>
      <c r="Z107" s="474"/>
      <c r="AA107" s="477"/>
      <c r="AB107" s="474"/>
      <c r="AC107" s="474"/>
      <c r="AD107" s="474"/>
    </row>
    <row r="108" spans="1:30" ht="9" customHeight="1">
      <c r="A108" s="473"/>
      <c r="B108" s="473"/>
      <c r="C108" s="471"/>
      <c r="D108" s="471"/>
      <c r="E108" s="471"/>
      <c r="F108" s="471"/>
      <c r="G108" s="471"/>
      <c r="H108" s="507"/>
      <c r="I108" s="507"/>
      <c r="J108" s="507"/>
      <c r="K108" s="507"/>
      <c r="L108" s="507"/>
      <c r="M108" s="471"/>
      <c r="N108" s="506"/>
      <c r="O108" s="537"/>
      <c r="P108" s="537"/>
      <c r="Q108" s="537"/>
      <c r="R108" s="537"/>
      <c r="S108" s="471"/>
      <c r="T108" s="471"/>
      <c r="U108" s="471"/>
      <c r="V108" s="471"/>
      <c r="W108" s="471"/>
      <c r="X108" s="471"/>
      <c r="Y108" s="573"/>
      <c r="Z108" s="474"/>
      <c r="AA108" s="477"/>
      <c r="AB108" s="474"/>
      <c r="AC108" s="474"/>
      <c r="AD108" s="474"/>
    </row>
    <row r="109" spans="1:30" ht="9" customHeight="1">
      <c r="A109" s="473"/>
      <c r="B109" s="473"/>
      <c r="C109" s="471"/>
      <c r="D109" s="471"/>
      <c r="E109" s="471"/>
      <c r="F109" s="471"/>
      <c r="G109" s="471"/>
      <c r="H109" s="507"/>
      <c r="I109" s="507"/>
      <c r="J109" s="507"/>
      <c r="K109" s="507"/>
      <c r="L109" s="507"/>
      <c r="M109" s="471"/>
      <c r="N109" s="506"/>
      <c r="O109" s="537"/>
      <c r="P109" s="537"/>
      <c r="Q109" s="537"/>
      <c r="R109" s="537"/>
      <c r="S109" s="471"/>
      <c r="T109" s="471"/>
      <c r="U109" s="471"/>
      <c r="V109" s="471"/>
      <c r="W109" s="471"/>
      <c r="X109" s="471"/>
      <c r="Y109" s="573"/>
      <c r="Z109" s="474"/>
      <c r="AA109" s="477"/>
      <c r="AB109" s="474"/>
      <c r="AC109" s="474"/>
      <c r="AD109" s="474"/>
    </row>
    <row r="110" spans="1:30" ht="9" customHeight="1">
      <c r="A110" s="473"/>
      <c r="B110" s="473"/>
      <c r="C110" s="471"/>
      <c r="D110" s="471"/>
      <c r="E110" s="471"/>
      <c r="F110" s="471"/>
      <c r="G110" s="471"/>
      <c r="H110" s="507"/>
      <c r="I110" s="507"/>
      <c r="J110" s="507"/>
      <c r="K110" s="507"/>
      <c r="L110" s="507"/>
      <c r="M110" s="471"/>
      <c r="N110" s="506"/>
      <c r="O110" s="537"/>
      <c r="P110" s="537"/>
      <c r="Q110" s="537"/>
      <c r="R110" s="537"/>
      <c r="S110" s="471"/>
      <c r="T110" s="471"/>
      <c r="U110" s="471"/>
      <c r="V110" s="471"/>
      <c r="W110" s="471"/>
      <c r="X110" s="471"/>
      <c r="Y110" s="573"/>
      <c r="Z110" s="474"/>
      <c r="AA110" s="477"/>
      <c r="AB110" s="474"/>
      <c r="AC110" s="474"/>
      <c r="AD110" s="474"/>
    </row>
    <row r="111" spans="1:30" ht="9" customHeight="1">
      <c r="A111" s="473"/>
      <c r="B111" s="473"/>
      <c r="C111" s="471"/>
      <c r="D111" s="471"/>
      <c r="E111" s="471"/>
      <c r="F111" s="471"/>
      <c r="G111" s="471"/>
      <c r="H111" s="507"/>
      <c r="I111" s="507"/>
      <c r="J111" s="507"/>
      <c r="K111" s="507"/>
      <c r="L111" s="507"/>
      <c r="M111" s="471"/>
      <c r="N111" s="506"/>
      <c r="O111" s="537"/>
      <c r="P111" s="537"/>
      <c r="Q111" s="537"/>
      <c r="R111" s="537"/>
      <c r="S111" s="471"/>
      <c r="T111" s="471"/>
      <c r="U111" s="471"/>
      <c r="V111" s="471"/>
      <c r="W111" s="471"/>
      <c r="X111" s="471"/>
      <c r="Y111" s="573"/>
      <c r="Z111" s="474"/>
      <c r="AA111" s="477"/>
      <c r="AB111" s="474"/>
      <c r="AC111" s="474"/>
      <c r="AD111" s="474"/>
    </row>
    <row r="112" spans="1:30" ht="9" customHeight="1">
      <c r="A112" s="473"/>
      <c r="B112" s="473"/>
      <c r="C112" s="471"/>
      <c r="D112" s="471"/>
      <c r="E112" s="471"/>
      <c r="F112" s="471"/>
      <c r="G112" s="471"/>
      <c r="H112" s="507"/>
      <c r="I112" s="507"/>
      <c r="J112" s="507"/>
      <c r="K112" s="507"/>
      <c r="L112" s="507"/>
      <c r="M112" s="471"/>
      <c r="N112" s="506"/>
      <c r="O112" s="537"/>
      <c r="P112" s="537"/>
      <c r="Q112" s="537"/>
      <c r="R112" s="537"/>
      <c r="S112" s="471"/>
      <c r="T112" s="471"/>
      <c r="U112" s="471"/>
      <c r="V112" s="471"/>
      <c r="W112" s="471"/>
      <c r="X112" s="471"/>
      <c r="Y112" s="573"/>
      <c r="Z112" s="474"/>
      <c r="AA112" s="477"/>
      <c r="AB112" s="474"/>
      <c r="AC112" s="474"/>
      <c r="AD112" s="474"/>
    </row>
    <row r="113" spans="1:30" ht="9" customHeight="1">
      <c r="A113" s="473"/>
      <c r="B113" s="473"/>
      <c r="C113" s="471"/>
      <c r="D113" s="471"/>
      <c r="E113" s="471"/>
      <c r="F113" s="471"/>
      <c r="G113" s="471"/>
      <c r="H113" s="507"/>
      <c r="I113" s="507"/>
      <c r="J113" s="507"/>
      <c r="K113" s="507"/>
      <c r="L113" s="507"/>
      <c r="M113" s="471"/>
      <c r="N113" s="506"/>
      <c r="O113" s="537"/>
      <c r="P113" s="537"/>
      <c r="Q113" s="537"/>
      <c r="R113" s="537"/>
      <c r="S113" s="471"/>
      <c r="T113" s="471"/>
      <c r="U113" s="471"/>
      <c r="V113" s="471"/>
      <c r="W113" s="471"/>
      <c r="X113" s="471"/>
      <c r="Y113" s="573"/>
      <c r="Z113" s="474"/>
      <c r="AA113" s="477"/>
      <c r="AB113" s="474"/>
      <c r="AC113" s="474"/>
      <c r="AD113" s="474"/>
    </row>
    <row r="114" spans="1:30" ht="9" customHeight="1">
      <c r="A114" s="473"/>
      <c r="B114" s="473"/>
      <c r="C114" s="471"/>
      <c r="D114" s="471"/>
      <c r="E114" s="471"/>
      <c r="F114" s="471"/>
      <c r="G114" s="471"/>
      <c r="H114" s="507"/>
      <c r="I114" s="507"/>
      <c r="J114" s="507"/>
      <c r="K114" s="507"/>
      <c r="L114" s="507"/>
      <c r="M114" s="471"/>
      <c r="N114" s="506"/>
      <c r="O114" s="537"/>
      <c r="P114" s="537"/>
      <c r="Q114" s="537"/>
      <c r="R114" s="537"/>
      <c r="S114" s="471"/>
      <c r="T114" s="471"/>
      <c r="U114" s="471"/>
      <c r="V114" s="471"/>
      <c r="W114" s="471"/>
      <c r="X114" s="471"/>
      <c r="Y114" s="573"/>
      <c r="Z114" s="474"/>
      <c r="AA114" s="477"/>
      <c r="AB114" s="474"/>
      <c r="AC114" s="474"/>
      <c r="AD114" s="474"/>
    </row>
    <row r="115" spans="1:30" ht="9" customHeight="1">
      <c r="A115" s="473"/>
      <c r="B115" s="473"/>
      <c r="C115" s="471"/>
      <c r="D115" s="471"/>
      <c r="E115" s="471"/>
      <c r="F115" s="471"/>
      <c r="G115" s="471"/>
      <c r="H115" s="507"/>
      <c r="I115" s="507"/>
      <c r="J115" s="507"/>
      <c r="K115" s="507"/>
      <c r="L115" s="507"/>
      <c r="M115" s="471"/>
      <c r="N115" s="506"/>
      <c r="O115" s="537"/>
      <c r="P115" s="537"/>
      <c r="Q115" s="537"/>
      <c r="R115" s="537"/>
      <c r="S115" s="471"/>
      <c r="T115" s="471"/>
      <c r="U115" s="471"/>
      <c r="V115" s="471"/>
      <c r="W115" s="471"/>
      <c r="X115" s="471"/>
      <c r="Y115" s="573"/>
      <c r="Z115" s="474"/>
      <c r="AA115" s="477"/>
      <c r="AB115" s="474"/>
      <c r="AC115" s="474"/>
      <c r="AD115" s="474"/>
    </row>
    <row r="116" spans="1:30" ht="9" customHeight="1">
      <c r="A116" s="473"/>
      <c r="B116" s="473"/>
      <c r="C116" s="471"/>
      <c r="D116" s="471"/>
      <c r="E116" s="471"/>
      <c r="F116" s="471"/>
      <c r="G116" s="471"/>
      <c r="H116" s="507"/>
      <c r="I116" s="507"/>
      <c r="J116" s="507"/>
      <c r="K116" s="507"/>
      <c r="L116" s="507"/>
      <c r="M116" s="471"/>
      <c r="N116" s="506"/>
      <c r="O116" s="537"/>
      <c r="P116" s="537"/>
      <c r="Q116" s="537"/>
      <c r="R116" s="537"/>
      <c r="S116" s="471"/>
      <c r="T116" s="471"/>
      <c r="U116" s="471"/>
      <c r="V116" s="471"/>
      <c r="W116" s="471"/>
      <c r="X116" s="471"/>
      <c r="Y116" s="573"/>
      <c r="Z116" s="474"/>
      <c r="AA116" s="477"/>
      <c r="AB116" s="474"/>
      <c r="AC116" s="474"/>
      <c r="AD116" s="474"/>
    </row>
    <row r="117" spans="1:30" ht="9" customHeight="1">
      <c r="A117" s="473"/>
      <c r="B117" s="473"/>
      <c r="C117" s="471"/>
      <c r="D117" s="471"/>
      <c r="E117" s="471"/>
      <c r="F117" s="471"/>
      <c r="G117" s="471"/>
      <c r="H117" s="507"/>
      <c r="I117" s="507"/>
      <c r="J117" s="507"/>
      <c r="K117" s="507"/>
      <c r="L117" s="507"/>
      <c r="M117" s="471"/>
      <c r="N117" s="506"/>
      <c r="O117" s="537"/>
      <c r="P117" s="537"/>
      <c r="Q117" s="537"/>
      <c r="R117" s="537"/>
      <c r="S117" s="471"/>
      <c r="T117" s="471"/>
      <c r="U117" s="471"/>
      <c r="V117" s="471"/>
      <c r="W117" s="471"/>
      <c r="X117" s="471"/>
      <c r="Y117" s="573"/>
      <c r="Z117" s="474"/>
      <c r="AA117" s="477"/>
      <c r="AB117" s="474"/>
      <c r="AC117" s="474"/>
      <c r="AD117" s="474"/>
    </row>
    <row r="118" spans="1:30" ht="9" customHeight="1">
      <c r="A118" s="473"/>
      <c r="B118" s="473"/>
      <c r="C118" s="471"/>
      <c r="D118" s="471"/>
      <c r="E118" s="471"/>
      <c r="F118" s="471"/>
      <c r="G118" s="471"/>
      <c r="H118" s="507"/>
      <c r="I118" s="507"/>
      <c r="J118" s="507"/>
      <c r="K118" s="507"/>
      <c r="L118" s="507"/>
      <c r="M118" s="471"/>
      <c r="N118" s="506"/>
      <c r="O118" s="537"/>
      <c r="P118" s="537"/>
      <c r="Q118" s="537"/>
      <c r="R118" s="537"/>
      <c r="S118" s="471"/>
      <c r="T118" s="471"/>
      <c r="U118" s="471"/>
      <c r="V118" s="471"/>
      <c r="W118" s="471"/>
      <c r="X118" s="471"/>
      <c r="Y118" s="573"/>
      <c r="Z118" s="474"/>
      <c r="AA118" s="477"/>
      <c r="AB118" s="474"/>
      <c r="AC118" s="474"/>
      <c r="AD118" s="474"/>
    </row>
    <row r="119" spans="1:30" ht="9" customHeight="1">
      <c r="A119" s="473"/>
      <c r="B119" s="473"/>
      <c r="C119" s="471"/>
      <c r="D119" s="471"/>
      <c r="E119" s="471"/>
      <c r="F119" s="471"/>
      <c r="G119" s="471"/>
      <c r="H119" s="507"/>
      <c r="I119" s="507"/>
      <c r="J119" s="507"/>
      <c r="K119" s="507"/>
      <c r="L119" s="507"/>
      <c r="M119" s="471"/>
      <c r="N119" s="506"/>
      <c r="O119" s="537"/>
      <c r="P119" s="537"/>
      <c r="Q119" s="537"/>
      <c r="R119" s="537"/>
      <c r="S119" s="471"/>
      <c r="T119" s="471"/>
      <c r="U119" s="471"/>
      <c r="V119" s="471"/>
      <c r="W119" s="471"/>
      <c r="X119" s="471"/>
      <c r="Y119" s="573"/>
      <c r="Z119" s="474"/>
      <c r="AA119" s="477"/>
      <c r="AB119" s="474"/>
      <c r="AC119" s="474"/>
      <c r="AD119" s="474"/>
    </row>
    <row r="120" spans="1:30" ht="9" customHeight="1">
      <c r="A120" s="473"/>
      <c r="B120" s="473"/>
      <c r="C120" s="471"/>
      <c r="D120" s="471"/>
      <c r="E120" s="471"/>
      <c r="F120" s="471"/>
      <c r="G120" s="471"/>
      <c r="H120" s="507"/>
      <c r="I120" s="507"/>
      <c r="J120" s="507"/>
      <c r="K120" s="507"/>
      <c r="L120" s="507"/>
      <c r="M120" s="471"/>
      <c r="N120" s="506"/>
      <c r="O120" s="537"/>
      <c r="P120" s="537"/>
      <c r="Q120" s="537"/>
      <c r="R120" s="537"/>
      <c r="S120" s="471"/>
      <c r="T120" s="471"/>
      <c r="U120" s="471"/>
      <c r="V120" s="471"/>
      <c r="W120" s="471"/>
      <c r="X120" s="471"/>
      <c r="Y120" s="573"/>
      <c r="Z120" s="474"/>
      <c r="AA120" s="477"/>
      <c r="AB120" s="474"/>
      <c r="AC120" s="474"/>
      <c r="AD120" s="474"/>
    </row>
    <row r="121" spans="1:30" ht="9" customHeight="1">
      <c r="A121" s="473"/>
      <c r="B121" s="473"/>
      <c r="C121" s="471"/>
      <c r="D121" s="471"/>
      <c r="E121" s="471"/>
      <c r="F121" s="471"/>
      <c r="G121" s="471"/>
      <c r="H121" s="507"/>
      <c r="I121" s="507"/>
      <c r="J121" s="507"/>
      <c r="K121" s="507"/>
      <c r="L121" s="507"/>
      <c r="M121" s="471"/>
      <c r="N121" s="506"/>
      <c r="O121" s="537"/>
      <c r="P121" s="537"/>
      <c r="Q121" s="537"/>
      <c r="R121" s="537"/>
      <c r="S121" s="471"/>
      <c r="T121" s="471"/>
      <c r="U121" s="471"/>
      <c r="V121" s="471"/>
      <c r="W121" s="471"/>
      <c r="X121" s="471"/>
      <c r="Y121" s="573"/>
      <c r="Z121" s="474"/>
      <c r="AA121" s="477"/>
      <c r="AB121" s="474"/>
      <c r="AC121" s="474"/>
      <c r="AD121" s="474"/>
    </row>
    <row r="122" spans="1:30" ht="9" customHeight="1">
      <c r="A122" s="473"/>
      <c r="B122" s="473"/>
      <c r="C122" s="471"/>
      <c r="D122" s="471"/>
      <c r="E122" s="471"/>
      <c r="F122" s="471"/>
      <c r="G122" s="471"/>
      <c r="H122" s="507"/>
      <c r="I122" s="507"/>
      <c r="J122" s="507"/>
      <c r="K122" s="507"/>
      <c r="L122" s="507"/>
      <c r="M122" s="471"/>
      <c r="N122" s="506"/>
      <c r="O122" s="537"/>
      <c r="P122" s="537"/>
      <c r="Q122" s="537"/>
      <c r="R122" s="537"/>
      <c r="S122" s="471"/>
      <c r="T122" s="471"/>
      <c r="U122" s="471"/>
      <c r="V122" s="471"/>
      <c r="W122" s="471"/>
      <c r="X122" s="471"/>
      <c r="Y122" s="573"/>
      <c r="Z122" s="474"/>
      <c r="AA122" s="477"/>
      <c r="AB122" s="474"/>
      <c r="AC122" s="474"/>
      <c r="AD122" s="474"/>
    </row>
    <row r="123" spans="1:30" ht="9" customHeight="1">
      <c r="A123" s="473"/>
      <c r="B123" s="473"/>
      <c r="C123" s="471"/>
      <c r="D123" s="471"/>
      <c r="E123" s="471"/>
      <c r="F123" s="471"/>
      <c r="G123" s="471"/>
      <c r="H123" s="507"/>
      <c r="I123" s="507"/>
      <c r="J123" s="507"/>
      <c r="K123" s="507"/>
      <c r="L123" s="507"/>
      <c r="M123" s="471"/>
      <c r="N123" s="506"/>
      <c r="O123" s="537"/>
      <c r="P123" s="537"/>
      <c r="Q123" s="537"/>
      <c r="R123" s="537"/>
      <c r="S123" s="471"/>
      <c r="T123" s="471"/>
      <c r="U123" s="471"/>
      <c r="V123" s="471"/>
      <c r="W123" s="471"/>
      <c r="X123" s="471"/>
      <c r="Y123" s="573"/>
      <c r="Z123" s="474"/>
      <c r="AA123" s="477"/>
      <c r="AB123" s="474"/>
      <c r="AC123" s="474"/>
      <c r="AD123" s="474"/>
    </row>
    <row r="124" spans="1:30" ht="9" customHeight="1">
      <c r="A124" s="473"/>
      <c r="B124" s="473"/>
      <c r="C124" s="471"/>
      <c r="D124" s="471"/>
      <c r="E124" s="471"/>
      <c r="F124" s="471"/>
      <c r="G124" s="471"/>
      <c r="H124" s="507"/>
      <c r="I124" s="507"/>
      <c r="J124" s="507"/>
      <c r="K124" s="507"/>
      <c r="L124" s="507"/>
      <c r="M124" s="471"/>
      <c r="N124" s="506"/>
      <c r="O124" s="537"/>
      <c r="P124" s="537"/>
      <c r="Q124" s="537"/>
      <c r="R124" s="537"/>
      <c r="S124" s="471"/>
      <c r="T124" s="471"/>
      <c r="U124" s="471"/>
      <c r="V124" s="471"/>
      <c r="W124" s="471"/>
      <c r="X124" s="471"/>
      <c r="Y124" s="573"/>
      <c r="Z124" s="474"/>
      <c r="AA124" s="477"/>
      <c r="AB124" s="474"/>
      <c r="AC124" s="474"/>
      <c r="AD124" s="474"/>
    </row>
    <row r="125" spans="1:30" ht="9" customHeight="1">
      <c r="A125" s="473"/>
      <c r="B125" s="473"/>
      <c r="C125" s="471"/>
      <c r="D125" s="471"/>
      <c r="E125" s="471"/>
      <c r="F125" s="471"/>
      <c r="G125" s="471"/>
      <c r="H125" s="507"/>
      <c r="I125" s="507"/>
      <c r="J125" s="507"/>
      <c r="K125" s="507"/>
      <c r="L125" s="507"/>
      <c r="M125" s="471"/>
      <c r="N125" s="506"/>
      <c r="O125" s="537"/>
      <c r="P125" s="537"/>
      <c r="Q125" s="537"/>
      <c r="R125" s="537"/>
      <c r="S125" s="471"/>
      <c r="T125" s="471"/>
      <c r="U125" s="471"/>
      <c r="V125" s="471"/>
      <c r="W125" s="471"/>
      <c r="X125" s="471"/>
      <c r="Y125" s="573"/>
      <c r="Z125" s="474"/>
      <c r="AA125" s="477"/>
      <c r="AB125" s="474"/>
      <c r="AC125" s="474"/>
      <c r="AD125" s="474"/>
    </row>
    <row r="126" spans="1:30" ht="9" customHeight="1">
      <c r="A126" s="473"/>
      <c r="B126" s="473"/>
      <c r="C126" s="471"/>
      <c r="D126" s="471"/>
      <c r="E126" s="471"/>
      <c r="F126" s="471"/>
      <c r="G126" s="471"/>
      <c r="H126" s="507"/>
      <c r="I126" s="507"/>
      <c r="J126" s="507"/>
      <c r="K126" s="507"/>
      <c r="L126" s="507"/>
      <c r="M126" s="471"/>
      <c r="N126" s="506"/>
      <c r="O126" s="537"/>
      <c r="P126" s="537"/>
      <c r="Q126" s="537"/>
      <c r="R126" s="537"/>
      <c r="S126" s="471"/>
      <c r="T126" s="471"/>
      <c r="U126" s="471"/>
      <c r="V126" s="471"/>
      <c r="W126" s="471"/>
      <c r="X126" s="471"/>
      <c r="Y126" s="573"/>
      <c r="Z126" s="474"/>
      <c r="AA126" s="477"/>
      <c r="AB126" s="474"/>
      <c r="AC126" s="474"/>
      <c r="AD126" s="474"/>
    </row>
    <row r="127" spans="1:30" ht="9" customHeight="1">
      <c r="A127" s="473"/>
      <c r="B127" s="473"/>
      <c r="C127" s="471"/>
      <c r="D127" s="471"/>
      <c r="E127" s="471"/>
      <c r="F127" s="471"/>
      <c r="G127" s="471"/>
      <c r="H127" s="507"/>
      <c r="I127" s="507"/>
      <c r="J127" s="507"/>
      <c r="K127" s="507"/>
      <c r="L127" s="507"/>
      <c r="M127" s="471"/>
      <c r="N127" s="506"/>
      <c r="O127" s="537"/>
      <c r="P127" s="537"/>
      <c r="Q127" s="537"/>
      <c r="R127" s="537"/>
      <c r="S127" s="471"/>
      <c r="T127" s="471"/>
      <c r="U127" s="471"/>
      <c r="V127" s="471"/>
      <c r="W127" s="471"/>
      <c r="X127" s="471"/>
      <c r="Y127" s="573"/>
      <c r="Z127" s="474"/>
      <c r="AA127" s="477"/>
      <c r="AB127" s="474"/>
      <c r="AC127" s="474"/>
      <c r="AD127" s="474"/>
    </row>
    <row r="128" spans="1:30" ht="9" customHeight="1">
      <c r="A128" s="473"/>
      <c r="B128" s="473"/>
      <c r="C128" s="471"/>
      <c r="D128" s="471"/>
      <c r="E128" s="471"/>
      <c r="F128" s="471"/>
      <c r="G128" s="471"/>
      <c r="H128" s="507"/>
      <c r="I128" s="507"/>
      <c r="J128" s="507"/>
      <c r="K128" s="507"/>
      <c r="L128" s="507"/>
      <c r="M128" s="471"/>
      <c r="N128" s="506"/>
      <c r="O128" s="537"/>
      <c r="P128" s="537"/>
      <c r="Q128" s="537"/>
      <c r="R128" s="537"/>
      <c r="S128" s="471"/>
      <c r="T128" s="471"/>
      <c r="U128" s="471"/>
      <c r="V128" s="471"/>
      <c r="W128" s="471"/>
      <c r="X128" s="471"/>
      <c r="Y128" s="573"/>
      <c r="Z128" s="474"/>
      <c r="AA128" s="477"/>
      <c r="AB128" s="474"/>
      <c r="AC128" s="474"/>
      <c r="AD128" s="474"/>
    </row>
    <row r="129" spans="1:30" ht="9" customHeight="1">
      <c r="A129" s="473"/>
      <c r="B129" s="473"/>
      <c r="C129" s="471"/>
      <c r="D129" s="471"/>
      <c r="E129" s="471"/>
      <c r="F129" s="471"/>
      <c r="G129" s="471"/>
      <c r="H129" s="507"/>
      <c r="I129" s="507"/>
      <c r="J129" s="507"/>
      <c r="K129" s="507"/>
      <c r="L129" s="507"/>
      <c r="M129" s="471"/>
      <c r="N129" s="506"/>
      <c r="O129" s="537"/>
      <c r="P129" s="537"/>
      <c r="Q129" s="537"/>
      <c r="R129" s="537"/>
      <c r="S129" s="471"/>
      <c r="T129" s="471"/>
      <c r="U129" s="471"/>
      <c r="V129" s="471"/>
      <c r="W129" s="471"/>
      <c r="X129" s="471"/>
      <c r="Y129" s="573"/>
      <c r="Z129" s="474"/>
      <c r="AA129" s="477"/>
      <c r="AB129" s="474"/>
      <c r="AC129" s="474"/>
      <c r="AD129" s="474"/>
    </row>
    <row r="130" spans="1:30" ht="9" customHeight="1">
      <c r="A130" s="473"/>
      <c r="B130" s="473"/>
      <c r="C130" s="471"/>
      <c r="D130" s="471"/>
      <c r="E130" s="471"/>
      <c r="F130" s="471"/>
      <c r="G130" s="471"/>
      <c r="H130" s="507"/>
      <c r="I130" s="507"/>
      <c r="J130" s="507"/>
      <c r="K130" s="507"/>
      <c r="L130" s="507"/>
      <c r="M130" s="471"/>
      <c r="N130" s="506"/>
      <c r="O130" s="539"/>
      <c r="P130" s="539"/>
      <c r="Q130" s="539"/>
      <c r="R130" s="539"/>
      <c r="S130" s="471"/>
      <c r="T130" s="471"/>
      <c r="U130" s="471"/>
      <c r="V130" s="471"/>
      <c r="W130" s="471"/>
      <c r="X130" s="471"/>
      <c r="Y130" s="573"/>
      <c r="Z130" s="474"/>
      <c r="AA130" s="477"/>
      <c r="AB130" s="474"/>
      <c r="AC130" s="474"/>
      <c r="AD130" s="474"/>
    </row>
    <row r="131" spans="1:30" ht="9" customHeight="1">
      <c r="A131" s="473"/>
      <c r="B131" s="473"/>
      <c r="C131" s="471"/>
      <c r="D131" s="471"/>
      <c r="E131" s="471"/>
      <c r="F131" s="471"/>
      <c r="G131" s="471"/>
      <c r="H131" s="507"/>
      <c r="I131" s="507"/>
      <c r="J131" s="507"/>
      <c r="K131" s="507"/>
      <c r="L131" s="507"/>
      <c r="M131" s="471"/>
      <c r="N131" s="506"/>
      <c r="O131" s="540"/>
      <c r="P131" s="540"/>
      <c r="Q131" s="540"/>
      <c r="R131" s="540"/>
      <c r="S131" s="471"/>
      <c r="T131" s="471"/>
      <c r="U131" s="471"/>
      <c r="V131" s="471"/>
      <c r="W131" s="471"/>
      <c r="X131" s="471"/>
      <c r="Y131" s="573"/>
      <c r="Z131" s="474"/>
      <c r="AA131" s="477"/>
      <c r="AB131" s="474"/>
      <c r="AC131" s="474"/>
      <c r="AD131" s="474"/>
    </row>
    <row r="132" spans="1:30" ht="9" customHeight="1">
      <c r="A132" s="473"/>
      <c r="B132" s="473"/>
      <c r="C132" s="471"/>
      <c r="D132" s="471"/>
      <c r="E132" s="471"/>
      <c r="F132" s="471"/>
      <c r="G132" s="471"/>
      <c r="H132" s="507"/>
      <c r="I132" s="507"/>
      <c r="J132" s="507"/>
      <c r="K132" s="507"/>
      <c r="L132" s="507"/>
      <c r="M132" s="471"/>
      <c r="N132" s="506"/>
      <c r="O132" s="539"/>
      <c r="P132" s="539"/>
      <c r="Q132" s="539"/>
      <c r="R132" s="539"/>
      <c r="S132" s="471"/>
      <c r="T132" s="471"/>
      <c r="U132" s="471"/>
      <c r="V132" s="471"/>
      <c r="W132" s="471"/>
      <c r="X132" s="471"/>
      <c r="Y132" s="573"/>
      <c r="Z132" s="474"/>
      <c r="AA132" s="477"/>
      <c r="AB132" s="474"/>
      <c r="AC132" s="474"/>
      <c r="AD132" s="474"/>
    </row>
    <row r="133" spans="1:30" ht="9" customHeight="1">
      <c r="A133" s="473"/>
      <c r="B133" s="473"/>
      <c r="C133" s="471"/>
      <c r="D133" s="471"/>
      <c r="E133" s="471"/>
      <c r="F133" s="471"/>
      <c r="G133" s="471"/>
      <c r="H133" s="507"/>
      <c r="I133" s="507"/>
      <c r="J133" s="507"/>
      <c r="K133" s="507"/>
      <c r="L133" s="507"/>
      <c r="M133" s="471"/>
      <c r="N133" s="506"/>
      <c r="O133" s="540"/>
      <c r="P133" s="540"/>
      <c r="Q133" s="540"/>
      <c r="R133" s="540"/>
      <c r="S133" s="471"/>
      <c r="T133" s="471"/>
      <c r="U133" s="471"/>
      <c r="V133" s="471"/>
      <c r="W133" s="471"/>
      <c r="X133" s="471"/>
      <c r="Y133" s="573"/>
      <c r="Z133" s="474"/>
      <c r="AA133" s="477"/>
      <c r="AB133" s="474"/>
      <c r="AC133" s="474"/>
      <c r="AD133" s="474"/>
    </row>
    <row r="134" spans="1:30" ht="9" customHeight="1">
      <c r="A134" s="473"/>
      <c r="B134" s="473"/>
      <c r="C134" s="471"/>
      <c r="D134" s="471"/>
      <c r="E134" s="471"/>
      <c r="F134" s="471"/>
      <c r="G134" s="471"/>
      <c r="H134" s="507"/>
      <c r="I134" s="507"/>
      <c r="J134" s="507"/>
      <c r="K134" s="507"/>
      <c r="L134" s="507"/>
      <c r="M134" s="471"/>
      <c r="N134" s="506"/>
      <c r="O134" s="537"/>
      <c r="P134" s="537"/>
      <c r="Q134" s="537"/>
      <c r="R134" s="537"/>
      <c r="S134" s="471"/>
      <c r="T134" s="471"/>
      <c r="U134" s="471"/>
      <c r="V134" s="471"/>
      <c r="W134" s="471"/>
      <c r="X134" s="471"/>
      <c r="Y134" s="573"/>
      <c r="Z134" s="474"/>
      <c r="AA134" s="477"/>
      <c r="AB134" s="474"/>
      <c r="AC134" s="474"/>
      <c r="AD134" s="474"/>
    </row>
    <row r="135" spans="1:30" ht="9" customHeight="1">
      <c r="A135" s="473"/>
      <c r="B135" s="473"/>
      <c r="C135" s="471"/>
      <c r="D135" s="471"/>
      <c r="E135" s="471"/>
      <c r="F135" s="471"/>
      <c r="G135" s="471"/>
      <c r="H135" s="507"/>
      <c r="I135" s="507"/>
      <c r="J135" s="507"/>
      <c r="K135" s="507"/>
      <c r="L135" s="507"/>
      <c r="M135" s="471"/>
      <c r="N135" s="506"/>
      <c r="O135" s="537"/>
      <c r="P135" s="537"/>
      <c r="Q135" s="537"/>
      <c r="R135" s="537"/>
      <c r="S135" s="471"/>
      <c r="T135" s="471"/>
      <c r="U135" s="471"/>
      <c r="V135" s="471"/>
      <c r="W135" s="471"/>
      <c r="X135" s="471"/>
      <c r="Y135" s="573"/>
      <c r="Z135" s="474"/>
      <c r="AA135" s="477"/>
      <c r="AB135" s="474"/>
      <c r="AC135" s="474"/>
      <c r="AD135" s="474"/>
    </row>
    <row r="136" spans="1:30" ht="9" customHeight="1">
      <c r="A136" s="473"/>
      <c r="B136" s="473"/>
      <c r="C136" s="471"/>
      <c r="D136" s="471"/>
      <c r="E136" s="471"/>
      <c r="F136" s="471"/>
      <c r="G136" s="471"/>
      <c r="H136" s="507"/>
      <c r="I136" s="507"/>
      <c r="J136" s="507"/>
      <c r="K136" s="507"/>
      <c r="L136" s="507"/>
      <c r="M136" s="471"/>
      <c r="N136" s="506"/>
      <c r="O136" s="537"/>
      <c r="P136" s="537"/>
      <c r="Q136" s="537"/>
      <c r="R136" s="537"/>
      <c r="S136" s="471"/>
      <c r="T136" s="471"/>
      <c r="U136" s="471"/>
      <c r="V136" s="471"/>
      <c r="W136" s="471"/>
      <c r="X136" s="471"/>
      <c r="Y136" s="573"/>
      <c r="Z136" s="474"/>
      <c r="AA136" s="477"/>
      <c r="AB136" s="474"/>
      <c r="AC136" s="474"/>
      <c r="AD136" s="474"/>
    </row>
    <row r="137" spans="1:30" ht="9" customHeight="1">
      <c r="A137" s="473"/>
      <c r="B137" s="473"/>
      <c r="C137" s="471"/>
      <c r="D137" s="471"/>
      <c r="E137" s="471"/>
      <c r="F137" s="471"/>
      <c r="G137" s="471"/>
      <c r="H137" s="507"/>
      <c r="I137" s="507"/>
      <c r="J137" s="507"/>
      <c r="K137" s="507"/>
      <c r="L137" s="507"/>
      <c r="M137" s="471"/>
      <c r="N137" s="506"/>
      <c r="O137" s="541"/>
      <c r="P137" s="541"/>
      <c r="Q137" s="541"/>
      <c r="R137" s="541"/>
      <c r="S137" s="471"/>
      <c r="T137" s="471"/>
      <c r="U137" s="471"/>
      <c r="V137" s="471"/>
      <c r="W137" s="471"/>
      <c r="X137" s="471"/>
      <c r="Y137" s="573"/>
      <c r="Z137" s="474"/>
      <c r="AA137" s="477"/>
      <c r="AB137" s="474"/>
      <c r="AC137" s="474"/>
      <c r="AD137" s="474"/>
    </row>
    <row r="138" spans="1:30" ht="9" customHeight="1">
      <c r="A138" s="473"/>
      <c r="B138" s="473"/>
      <c r="C138" s="471"/>
      <c r="D138" s="471"/>
      <c r="E138" s="471"/>
      <c r="F138" s="471"/>
      <c r="G138" s="471"/>
      <c r="H138" s="507"/>
      <c r="I138" s="507"/>
      <c r="J138" s="507"/>
      <c r="K138" s="507"/>
      <c r="L138" s="507"/>
      <c r="M138" s="471"/>
      <c r="N138" s="506"/>
      <c r="O138" s="538"/>
      <c r="P138" s="538"/>
      <c r="Q138" s="538"/>
      <c r="R138" s="538"/>
      <c r="S138" s="471"/>
      <c r="T138" s="471"/>
      <c r="U138" s="471"/>
      <c r="V138" s="471"/>
      <c r="W138" s="471"/>
      <c r="X138" s="471"/>
      <c r="Y138" s="573"/>
      <c r="Z138" s="474"/>
      <c r="AA138" s="477"/>
      <c r="AB138" s="474"/>
      <c r="AC138" s="474"/>
      <c r="AD138" s="474"/>
    </row>
    <row r="139" spans="1:30" ht="9" customHeight="1">
      <c r="A139" s="473"/>
      <c r="B139" s="473"/>
      <c r="C139" s="471"/>
      <c r="D139" s="471"/>
      <c r="E139" s="471"/>
      <c r="F139" s="471"/>
      <c r="G139" s="471"/>
      <c r="H139" s="507"/>
      <c r="I139" s="507"/>
      <c r="J139" s="507"/>
      <c r="K139" s="507"/>
      <c r="L139" s="507"/>
      <c r="M139" s="471"/>
      <c r="N139" s="506"/>
      <c r="O139" s="471"/>
      <c r="P139" s="471"/>
      <c r="Q139" s="471"/>
      <c r="R139" s="471"/>
      <c r="S139" s="471"/>
      <c r="T139" s="471"/>
      <c r="U139" s="471"/>
      <c r="V139" s="471"/>
      <c r="W139" s="471"/>
      <c r="X139" s="471"/>
      <c r="Y139" s="573"/>
      <c r="Z139" s="474"/>
      <c r="AA139" s="477"/>
      <c r="AB139" s="474"/>
      <c r="AC139" s="474"/>
      <c r="AD139" s="474"/>
    </row>
    <row r="140" spans="1:30" ht="9" customHeight="1">
      <c r="A140" s="473"/>
      <c r="B140" s="473"/>
      <c r="C140" s="471"/>
      <c r="D140" s="471"/>
      <c r="E140" s="471"/>
      <c r="F140" s="471"/>
      <c r="G140" s="471"/>
      <c r="H140" s="507"/>
      <c r="I140" s="507"/>
      <c r="J140" s="507"/>
      <c r="K140" s="507"/>
      <c r="L140" s="507"/>
      <c r="M140" s="471"/>
      <c r="N140" s="506"/>
      <c r="O140" s="471"/>
      <c r="P140" s="471"/>
      <c r="Q140" s="471"/>
      <c r="R140" s="471"/>
      <c r="S140" s="471"/>
      <c r="T140" s="471"/>
      <c r="U140" s="471"/>
      <c r="V140" s="471"/>
      <c r="W140" s="471"/>
      <c r="X140" s="471"/>
      <c r="Y140" s="573"/>
      <c r="Z140" s="474"/>
      <c r="AA140" s="477"/>
      <c r="AB140" s="474"/>
      <c r="AC140" s="474"/>
      <c r="AD140" s="474"/>
    </row>
    <row r="141" spans="1:30" ht="9" customHeight="1">
      <c r="A141" s="473"/>
      <c r="B141" s="473"/>
      <c r="C141" s="471"/>
      <c r="D141" s="471"/>
      <c r="E141" s="471"/>
      <c r="F141" s="471"/>
      <c r="G141" s="471"/>
      <c r="H141" s="507"/>
      <c r="I141" s="507"/>
      <c r="J141" s="507"/>
      <c r="K141" s="507"/>
      <c r="L141" s="507"/>
      <c r="M141" s="471"/>
      <c r="N141" s="506"/>
      <c r="O141" s="471"/>
      <c r="P141" s="471"/>
      <c r="Q141" s="471"/>
      <c r="R141" s="471"/>
      <c r="S141" s="471"/>
      <c r="T141" s="471"/>
      <c r="U141" s="471"/>
      <c r="V141" s="471"/>
      <c r="W141" s="471"/>
      <c r="X141" s="471"/>
      <c r="Y141" s="573"/>
      <c r="Z141" s="474"/>
      <c r="AA141" s="477"/>
      <c r="AB141" s="474"/>
      <c r="AC141" s="474"/>
      <c r="AD141" s="474"/>
    </row>
    <row r="142" spans="1:30" ht="9" customHeight="1">
      <c r="A142" s="473"/>
      <c r="B142" s="473"/>
      <c r="C142" s="471"/>
      <c r="D142" s="471"/>
      <c r="E142" s="471"/>
      <c r="F142" s="471"/>
      <c r="G142" s="471"/>
      <c r="H142" s="507"/>
      <c r="I142" s="507"/>
      <c r="J142" s="507"/>
      <c r="K142" s="507"/>
      <c r="L142" s="507"/>
      <c r="M142" s="471"/>
      <c r="N142" s="506"/>
      <c r="O142" s="471"/>
      <c r="P142" s="471"/>
      <c r="Q142" s="471"/>
      <c r="R142" s="471"/>
      <c r="S142" s="471"/>
      <c r="T142" s="471"/>
      <c r="U142" s="471"/>
      <c r="V142" s="471"/>
      <c r="W142" s="471"/>
      <c r="X142" s="471"/>
      <c r="Y142" s="573"/>
      <c r="Z142" s="474"/>
      <c r="AA142" s="477"/>
      <c r="AB142" s="474"/>
      <c r="AC142" s="474"/>
      <c r="AD142" s="474"/>
    </row>
    <row r="143" spans="1:30" ht="9" customHeight="1">
      <c r="A143" s="473"/>
      <c r="B143" s="473"/>
      <c r="C143" s="471"/>
      <c r="D143" s="471"/>
      <c r="E143" s="471"/>
      <c r="F143" s="471"/>
      <c r="G143" s="471"/>
      <c r="H143" s="507"/>
      <c r="I143" s="507"/>
      <c r="J143" s="507"/>
      <c r="K143" s="507"/>
      <c r="L143" s="507"/>
      <c r="M143" s="471"/>
      <c r="N143" s="506"/>
      <c r="O143" s="471"/>
      <c r="P143" s="471"/>
      <c r="Q143" s="471"/>
      <c r="R143" s="471"/>
      <c r="S143" s="471"/>
      <c r="T143" s="471"/>
      <c r="U143" s="471"/>
      <c r="V143" s="471"/>
      <c r="W143" s="471"/>
      <c r="X143" s="471"/>
      <c r="Y143" s="573"/>
      <c r="Z143" s="474"/>
      <c r="AA143" s="477"/>
      <c r="AB143" s="474"/>
      <c r="AC143" s="474"/>
      <c r="AD143" s="474"/>
    </row>
    <row r="144" spans="1:30" ht="9" customHeight="1">
      <c r="A144" s="473"/>
      <c r="B144" s="473"/>
      <c r="C144" s="471"/>
      <c r="D144" s="471"/>
      <c r="E144" s="471"/>
      <c r="F144" s="471"/>
      <c r="G144" s="471"/>
      <c r="H144" s="507"/>
      <c r="I144" s="507"/>
      <c r="J144" s="507"/>
      <c r="K144" s="507"/>
      <c r="L144" s="507"/>
      <c r="M144" s="471"/>
      <c r="N144" s="506"/>
      <c r="O144" s="471"/>
      <c r="P144" s="471"/>
      <c r="Q144" s="471"/>
      <c r="R144" s="471"/>
      <c r="S144" s="471"/>
      <c r="T144" s="471"/>
      <c r="U144" s="471"/>
      <c r="V144" s="471"/>
      <c r="W144" s="471"/>
      <c r="X144" s="471"/>
      <c r="Y144" s="573"/>
      <c r="Z144" s="474"/>
      <c r="AA144" s="477"/>
      <c r="AB144" s="474"/>
      <c r="AC144" s="474"/>
      <c r="AD144" s="474"/>
    </row>
    <row r="145" spans="1:30" ht="9" customHeight="1">
      <c r="A145" s="473"/>
      <c r="B145" s="473"/>
      <c r="C145" s="471"/>
      <c r="D145" s="471"/>
      <c r="E145" s="471"/>
      <c r="F145" s="471"/>
      <c r="G145" s="471"/>
      <c r="H145" s="507"/>
      <c r="I145" s="507"/>
      <c r="J145" s="507"/>
      <c r="K145" s="507"/>
      <c r="L145" s="507"/>
      <c r="M145" s="471"/>
      <c r="N145" s="506"/>
      <c r="O145" s="471"/>
      <c r="P145" s="471"/>
      <c r="Q145" s="471"/>
      <c r="R145" s="471"/>
      <c r="S145" s="471"/>
      <c r="T145" s="471"/>
      <c r="U145" s="471"/>
      <c r="V145" s="471"/>
      <c r="W145" s="471"/>
      <c r="X145" s="471"/>
      <c r="Y145" s="573"/>
      <c r="Z145" s="474"/>
      <c r="AA145" s="477"/>
      <c r="AB145" s="474"/>
      <c r="AC145" s="474"/>
      <c r="AD145" s="474"/>
    </row>
    <row r="146" spans="1:30" ht="9" customHeight="1">
      <c r="A146" s="473"/>
      <c r="B146" s="473"/>
      <c r="C146" s="471"/>
      <c r="D146" s="471"/>
      <c r="E146" s="471"/>
      <c r="F146" s="471"/>
      <c r="G146" s="471"/>
      <c r="H146" s="507"/>
      <c r="I146" s="507"/>
      <c r="J146" s="507"/>
      <c r="K146" s="507"/>
      <c r="L146" s="507"/>
      <c r="M146" s="471"/>
      <c r="N146" s="506"/>
      <c r="O146" s="471"/>
      <c r="P146" s="471"/>
      <c r="Q146" s="471"/>
      <c r="R146" s="471"/>
      <c r="S146" s="471"/>
      <c r="T146" s="471"/>
      <c r="U146" s="471"/>
      <c r="V146" s="471"/>
      <c r="W146" s="471"/>
      <c r="X146" s="471"/>
      <c r="Y146" s="573"/>
      <c r="Z146" s="474"/>
      <c r="AA146" s="477"/>
      <c r="AB146" s="474"/>
      <c r="AC146" s="474"/>
      <c r="AD146" s="474"/>
    </row>
    <row r="147" spans="1:30" ht="9" customHeight="1">
      <c r="A147" s="473"/>
      <c r="B147" s="473"/>
      <c r="C147" s="473"/>
      <c r="D147" s="473"/>
      <c r="E147" s="473"/>
      <c r="F147" s="473"/>
      <c r="G147" s="473"/>
      <c r="H147" s="473"/>
      <c r="I147" s="473"/>
      <c r="J147" s="473"/>
      <c r="K147" s="473"/>
      <c r="L147" s="473"/>
      <c r="M147" s="473"/>
      <c r="N147" s="473"/>
      <c r="O147" s="473"/>
      <c r="P147" s="473"/>
      <c r="Q147" s="473"/>
      <c r="R147" s="473"/>
      <c r="S147" s="473"/>
      <c r="T147" s="473"/>
      <c r="U147" s="473"/>
      <c r="V147" s="473"/>
      <c r="W147" s="473"/>
      <c r="X147" s="473"/>
      <c r="Y147" s="473"/>
      <c r="Z147" s="473"/>
      <c r="AA147" s="473"/>
      <c r="AB147" s="473"/>
      <c r="AC147" s="473"/>
      <c r="AD147" s="473"/>
    </row>
    <row r="148" spans="1:30" ht="90" customHeight="1">
      <c r="A148" s="473" t="s">
        <v>1625</v>
      </c>
      <c r="B148" s="473"/>
      <c r="C148" s="471" t="s">
        <v>2191</v>
      </c>
      <c r="D148" s="471" t="s">
        <v>1529</v>
      </c>
      <c r="E148" s="471" t="s">
        <v>1627</v>
      </c>
      <c r="F148" s="471" t="s">
        <v>2192</v>
      </c>
      <c r="G148" s="471"/>
      <c r="H148" s="471"/>
      <c r="I148" s="543"/>
      <c r="J148" s="543"/>
      <c r="K148" s="543"/>
      <c r="L148" s="543"/>
      <c r="M148" s="50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476"/>
      <c r="O148" s="471"/>
      <c r="P148" s="472"/>
      <c r="Q148" s="472"/>
      <c r="R148" s="472"/>
      <c r="S148" s="471"/>
      <c r="T148" s="471" t="s">
        <v>2193</v>
      </c>
      <c r="U148" s="47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472"/>
      <c r="W148" s="472"/>
      <c r="X148" s="471" t="s">
        <v>2194</v>
      </c>
      <c r="Y148" s="573"/>
      <c r="Z148" s="474"/>
      <c r="AA148" s="477"/>
      <c r="AB148" s="474"/>
      <c r="AC148" s="474"/>
      <c r="AD148" s="474"/>
    </row>
    <row r="149" spans="1:30" ht="9" customHeight="1">
      <c r="A149" s="473"/>
      <c r="B149" s="473"/>
      <c r="C149" s="473"/>
      <c r="D149" s="473"/>
      <c r="E149" s="473"/>
      <c r="F149" s="473"/>
      <c r="G149" s="473"/>
      <c r="H149" s="473"/>
      <c r="I149" s="473"/>
      <c r="J149" s="473"/>
      <c r="K149" s="473"/>
      <c r="L149" s="473"/>
      <c r="M149" s="473"/>
      <c r="N149" s="473"/>
      <c r="O149" s="473"/>
      <c r="P149" s="473"/>
      <c r="Q149" s="473"/>
      <c r="R149" s="473"/>
      <c r="S149" s="473"/>
      <c r="T149" s="473"/>
      <c r="U149" s="473"/>
      <c r="V149" s="473"/>
      <c r="W149" s="473"/>
      <c r="X149" s="473"/>
      <c r="Y149" s="473"/>
      <c r="Z149" s="473"/>
      <c r="AA149" s="473"/>
      <c r="AB149" s="473"/>
      <c r="AC149" s="473"/>
      <c r="AD149" s="473"/>
    </row>
    <row r="150" spans="1:30" ht="9" customHeight="1">
      <c r="A150" s="473" t="s">
        <v>1629</v>
      </c>
      <c r="B150" s="473"/>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573"/>
      <c r="Z150" s="474"/>
      <c r="AA150" s="477"/>
      <c r="AB150" s="474"/>
      <c r="AC150" s="474"/>
      <c r="AD150" s="474"/>
    </row>
    <row r="151" spans="1:30" ht="9" customHeight="1">
      <c r="A151" s="473"/>
      <c r="B151" s="473"/>
      <c r="C151" s="473"/>
      <c r="D151" s="473"/>
      <c r="E151" s="473"/>
      <c r="F151" s="473"/>
      <c r="G151" s="473"/>
      <c r="H151" s="473"/>
      <c r="I151" s="473"/>
      <c r="J151" s="473"/>
      <c r="K151" s="473"/>
      <c r="L151" s="473"/>
      <c r="M151" s="473"/>
      <c r="N151" s="473"/>
      <c r="O151" s="473"/>
      <c r="P151" s="473"/>
      <c r="Q151" s="473"/>
      <c r="R151" s="473"/>
      <c r="S151" s="473"/>
      <c r="T151" s="473"/>
      <c r="U151" s="473"/>
      <c r="V151" s="473"/>
      <c r="W151" s="473"/>
      <c r="X151" s="473"/>
      <c r="Y151" s="473"/>
      <c r="Z151" s="473"/>
      <c r="AA151" s="473"/>
      <c r="AB151" s="473"/>
      <c r="AC151" s="473"/>
      <c r="AD151" s="473"/>
    </row>
    <row r="152" spans="1:30" ht="9" customHeight="1">
      <c r="A152" s="473" t="s">
        <v>1632</v>
      </c>
      <c r="B152" s="473"/>
      <c r="C152" s="471"/>
      <c r="D152" s="471"/>
      <c r="E152" s="471"/>
      <c r="F152" s="471"/>
      <c r="G152" s="471"/>
      <c r="H152" s="471"/>
      <c r="I152" s="471"/>
      <c r="J152" s="471"/>
      <c r="K152" s="471"/>
      <c r="L152" s="471"/>
      <c r="M152" s="471"/>
      <c r="N152" s="471"/>
      <c r="O152" s="471"/>
      <c r="P152" s="471"/>
      <c r="Q152" s="471"/>
      <c r="R152" s="471"/>
      <c r="S152" s="471"/>
      <c r="T152" s="471"/>
      <c r="U152" s="471"/>
      <c r="V152" s="471"/>
      <c r="W152" s="471"/>
      <c r="X152" s="471"/>
      <c r="Y152" s="573"/>
      <c r="Z152" s="474"/>
      <c r="AA152" s="477"/>
      <c r="AB152" s="474"/>
      <c r="AC152" s="474"/>
      <c r="AD152" s="474"/>
    </row>
    <row r="153" spans="1:30" ht="9" customHeight="1">
      <c r="A153" s="473"/>
      <c r="B153" s="473"/>
      <c r="C153" s="473"/>
      <c r="D153" s="473"/>
      <c r="E153" s="473"/>
      <c r="F153" s="473"/>
      <c r="G153" s="473"/>
      <c r="H153" s="473"/>
      <c r="I153" s="473"/>
      <c r="J153" s="473"/>
      <c r="K153" s="473"/>
      <c r="L153" s="473"/>
      <c r="M153" s="473"/>
      <c r="N153" s="473"/>
      <c r="O153" s="473"/>
      <c r="P153" s="473"/>
      <c r="Q153" s="473"/>
      <c r="R153" s="473"/>
      <c r="S153" s="473"/>
      <c r="T153" s="473"/>
      <c r="U153" s="473"/>
      <c r="V153" s="473"/>
      <c r="W153" s="473"/>
      <c r="X153" s="473"/>
      <c r="Y153" s="473"/>
      <c r="Z153" s="473"/>
      <c r="AA153" s="473"/>
      <c r="AB153" s="473"/>
      <c r="AC153" s="473"/>
      <c r="AD153" s="473"/>
    </row>
    <row r="154" spans="1:30" ht="9" customHeight="1">
      <c r="A154" s="473" t="s">
        <v>1637</v>
      </c>
      <c r="B154" s="473"/>
      <c r="C154" s="471"/>
      <c r="D154" s="471"/>
      <c r="E154" s="471"/>
      <c r="F154" s="471"/>
      <c r="G154" s="471"/>
      <c r="H154" s="471"/>
      <c r="I154" s="471"/>
      <c r="J154" s="471"/>
      <c r="K154" s="471"/>
      <c r="L154" s="471"/>
      <c r="M154" s="471"/>
      <c r="N154" s="471"/>
      <c r="O154" s="471"/>
      <c r="P154" s="471"/>
      <c r="Q154" s="471"/>
      <c r="R154" s="471"/>
      <c r="S154" s="471"/>
      <c r="T154" s="471"/>
      <c r="U154" s="471"/>
      <c r="V154" s="471"/>
      <c r="W154" s="471"/>
      <c r="X154" s="471"/>
      <c r="Y154" s="573"/>
      <c r="Z154" s="474"/>
      <c r="AA154" s="477"/>
      <c r="AB154" s="474"/>
      <c r="AC154" s="474"/>
      <c r="AD154" s="47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AD523-5633-59CE-879F-76CE7E614909}">
  <sheetPr>
    <tabColor theme="6" tint="0.39997558519241921"/>
  </sheetPr>
  <dimension ref="A1:AC40"/>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497" hidden="1" customWidth="1"/>
    <col min="9" max="9" width="3.7109375" style="34" customWidth="1"/>
    <col min="10" max="11" width="3.7109375" style="30" customWidth="1"/>
    <col min="12" max="12" width="12.7109375" style="334" customWidth="1"/>
    <col min="13" max="13" width="32" style="12" customWidth="1"/>
    <col min="14" max="14" width="1.7109375" style="12" customWidth="1"/>
    <col min="15" max="18" width="24.7109375" style="12" customWidth="1"/>
    <col min="19" max="19" width="11.7109375" style="12" customWidth="1"/>
    <col min="20" max="20" width="3.7109375" style="12" customWidth="1"/>
    <col min="21" max="21" width="11.7109375" style="12" customWidth="1"/>
    <col min="22" max="22" width="8.5703125" style="12" customWidth="1"/>
    <col min="23" max="23" width="4.7109375" style="12" customWidth="1"/>
    <col min="24" max="24" width="115.7109375" style="12" customWidth="1"/>
    <col min="25" max="26" width="10.5703125" style="68"/>
    <col min="27" max="27" width="11.140625" style="68" customWidth="1"/>
    <col min="28" max="29" width="10.5703125" style="68"/>
  </cols>
  <sheetData>
    <row r="1" spans="1:29" ht="14.25" hidden="1" customHeight="1"/>
    <row r="2" spans="1:29" ht="14.25" hidden="1" customHeight="1"/>
    <row r="3" spans="1:29" ht="14.25" hidden="1" customHeight="1"/>
    <row r="4" spans="1:29" ht="14.25" customHeight="1">
      <c r="J4" s="29"/>
      <c r="K4" s="29"/>
      <c r="L4" s="729"/>
      <c r="M4" s="11"/>
      <c r="N4" s="11"/>
    </row>
    <row r="5" spans="1:29" ht="64.5" customHeight="1">
      <c r="J5" s="29"/>
      <c r="K5" s="29"/>
      <c r="L5" s="1537" t="s">
        <v>2195</v>
      </c>
      <c r="M5" s="1537"/>
      <c r="N5" s="1537"/>
      <c r="O5" s="1537"/>
      <c r="P5" s="1537"/>
      <c r="Q5" s="1537"/>
      <c r="R5" s="1537"/>
      <c r="S5" s="1537"/>
      <c r="T5" s="1537"/>
      <c r="U5" s="1537"/>
      <c r="V5" s="60"/>
    </row>
    <row r="6" spans="1:29" ht="14.25" customHeight="1">
      <c r="J6" s="29"/>
      <c r="K6" s="29"/>
      <c r="L6" s="1538" t="str">
        <f>IF(org=0,"Не определено",org)</f>
        <v>АО "ХТК"</v>
      </c>
      <c r="M6" s="1538"/>
      <c r="N6" s="1538"/>
      <c r="O6" s="1538"/>
      <c r="P6" s="1538"/>
      <c r="Q6" s="1538"/>
      <c r="R6" s="1538"/>
      <c r="S6" s="1538"/>
      <c r="T6" s="1538"/>
      <c r="U6" s="1538"/>
      <c r="V6" s="60"/>
    </row>
    <row r="7" spans="1:29" ht="14.25" customHeight="1">
      <c r="J7" s="29"/>
      <c r="K7" s="29"/>
      <c r="L7" s="729"/>
      <c r="M7" s="11"/>
      <c r="N7" s="11"/>
      <c r="O7" s="187"/>
      <c r="P7" s="187"/>
      <c r="Q7" s="187"/>
      <c r="R7" s="187"/>
      <c r="S7" s="187"/>
      <c r="T7" s="187"/>
      <c r="U7" s="187"/>
      <c r="V7" s="187"/>
    </row>
    <row r="8" spans="1:29" s="36" customFormat="1" ht="45" customHeight="1">
      <c r="A8" s="81"/>
      <c r="B8" s="81"/>
      <c r="C8" s="81"/>
      <c r="D8" s="81"/>
      <c r="E8" s="81"/>
      <c r="F8" s="81"/>
      <c r="G8" s="81"/>
      <c r="H8" s="81"/>
      <c r="L8" s="730"/>
      <c r="M8" s="168" t="s">
        <v>37</v>
      </c>
      <c r="N8" s="173"/>
      <c r="O8" s="1258" t="str">
        <f>IF(TITLE_NAME_OR_PR_CHANGE="",IF(TITLE_NAME_OR_PR="","",TITLE_NAME_OR_PR),TITLE_NAME_OR_PR_CHANGE)</f>
        <v/>
      </c>
      <c r="P8" s="1258"/>
      <c r="Q8" s="1258"/>
      <c r="R8" s="1258"/>
      <c r="S8" s="1258"/>
      <c r="T8" s="1258"/>
      <c r="U8" s="1258"/>
      <c r="V8" s="12"/>
      <c r="W8" s="12"/>
      <c r="X8" s="161"/>
      <c r="Y8" s="69"/>
      <c r="Z8" s="69"/>
      <c r="AA8" s="69"/>
      <c r="AB8" s="69"/>
      <c r="AC8" s="69"/>
    </row>
    <row r="9" spans="1:29" s="36" customFormat="1" ht="22.5" customHeight="1">
      <c r="A9" s="81"/>
      <c r="B9" s="81"/>
      <c r="C9" s="81"/>
      <c r="D9" s="81"/>
      <c r="E9" s="81"/>
      <c r="F9" s="81"/>
      <c r="G9" s="81"/>
      <c r="H9" s="81"/>
      <c r="L9" s="730"/>
      <c r="M9" s="168" t="s">
        <v>422</v>
      </c>
      <c r="N9" s="173"/>
      <c r="O9" s="1258" t="str">
        <f>IF(TITLE_DATE_CHANGE_PERIOD="",IF(TITLE_DATE_PR="","",TITLE_DATE_PR),TITLE_DATE_CHANGE_PERIOD)</f>
        <v/>
      </c>
      <c r="P9" s="1258"/>
      <c r="Q9" s="1258"/>
      <c r="R9" s="1258"/>
      <c r="S9" s="1258"/>
      <c r="T9" s="1258"/>
      <c r="U9" s="1258"/>
      <c r="V9" s="12"/>
      <c r="W9" s="12"/>
      <c r="X9" s="161"/>
      <c r="Y9" s="69"/>
      <c r="Z9" s="69"/>
      <c r="AA9" s="69"/>
      <c r="AB9" s="69"/>
      <c r="AC9" s="69"/>
    </row>
    <row r="10" spans="1:29" s="36" customFormat="1" ht="22.5" customHeight="1">
      <c r="A10" s="81"/>
      <c r="B10" s="81"/>
      <c r="C10" s="81"/>
      <c r="D10" s="81"/>
      <c r="E10" s="81"/>
      <c r="F10" s="81"/>
      <c r="G10" s="81"/>
      <c r="H10" s="81"/>
      <c r="L10" s="334"/>
      <c r="M10" s="168" t="s">
        <v>423</v>
      </c>
      <c r="N10" s="173"/>
      <c r="O10" s="1258" t="str">
        <f>IF(TITLE_NUMBER_PR_CHANGE="",IF(TITLE_NUMBER_PR="","",TITLE_NUMBER_PR),TITLE_NUMBER_PR_CHANGE)</f>
        <v/>
      </c>
      <c r="P10" s="1258"/>
      <c r="Q10" s="1258"/>
      <c r="R10" s="1258"/>
      <c r="S10" s="1258"/>
      <c r="T10" s="1258"/>
      <c r="U10" s="1258"/>
      <c r="V10" s="12"/>
      <c r="W10" s="12"/>
      <c r="X10" s="161"/>
      <c r="Y10" s="69"/>
      <c r="Z10" s="69"/>
      <c r="AA10" s="69"/>
      <c r="AB10" s="69"/>
      <c r="AC10" s="69"/>
    </row>
    <row r="11" spans="1:29" s="36" customFormat="1" ht="22.5" customHeight="1">
      <c r="A11" s="81"/>
      <c r="B11" s="81"/>
      <c r="C11" s="81"/>
      <c r="D11" s="81"/>
      <c r="E11" s="81"/>
      <c r="F11" s="81"/>
      <c r="G11" s="81"/>
      <c r="H11" s="81"/>
      <c r="L11" s="334"/>
      <c r="M11" s="168" t="s">
        <v>38</v>
      </c>
      <c r="N11" s="173"/>
      <c r="O11" s="1258" t="str">
        <f>IF(TITLE_IST_PUB_CHANGE="",IF(TITLE_IST_PUB="","",TITLE_IST_PUB),TITLE_IST_PUB_CHANGE)</f>
        <v/>
      </c>
      <c r="P11" s="1258"/>
      <c r="Q11" s="1258"/>
      <c r="R11" s="1258"/>
      <c r="S11" s="1258"/>
      <c r="T11" s="1258"/>
      <c r="U11" s="1258"/>
      <c r="V11" s="12"/>
      <c r="W11" s="12"/>
      <c r="X11" s="161"/>
      <c r="Y11" s="69"/>
      <c r="Z11" s="69"/>
      <c r="AA11" s="69"/>
      <c r="AB11" s="69"/>
      <c r="AC11" s="69"/>
    </row>
    <row r="12" spans="1:29" s="36" customFormat="1" ht="11.25" hidden="1" customHeight="1">
      <c r="A12" s="81"/>
      <c r="B12" s="81"/>
      <c r="C12" s="81"/>
      <c r="D12" s="81"/>
      <c r="E12" s="81"/>
      <c r="F12" s="81"/>
      <c r="G12" s="81"/>
      <c r="H12" s="81"/>
      <c r="L12" s="1539"/>
      <c r="M12" s="1539"/>
      <c r="N12" s="77"/>
      <c r="O12" s="12"/>
      <c r="P12" s="12"/>
      <c r="Q12" s="12"/>
      <c r="R12" s="12"/>
      <c r="S12" s="12"/>
      <c r="T12" s="12"/>
      <c r="U12" s="12"/>
      <c r="V12" s="68" t="s">
        <v>426</v>
      </c>
      <c r="Y12" s="69"/>
      <c r="Z12" s="69"/>
      <c r="AA12" s="69"/>
      <c r="AB12" s="69"/>
      <c r="AC12" s="69"/>
    </row>
    <row r="13" spans="1:29" ht="14.25" customHeight="1">
      <c r="J13" s="29"/>
      <c r="K13" s="29"/>
      <c r="L13" s="729"/>
      <c r="M13" s="11"/>
      <c r="N13" s="709"/>
      <c r="O13" s="1259"/>
      <c r="P13" s="1259"/>
      <c r="Q13" s="1259"/>
      <c r="R13" s="1259"/>
      <c r="S13" s="1259"/>
      <c r="T13" s="1259"/>
      <c r="U13" s="1259"/>
      <c r="V13" s="1259"/>
    </row>
    <row r="14" spans="1:29" ht="14.25" customHeight="1">
      <c r="J14" s="29"/>
      <c r="K14" s="29"/>
      <c r="L14" s="1146" t="s">
        <v>299</v>
      </c>
      <c r="M14" s="1146"/>
      <c r="N14" s="1146"/>
      <c r="O14" s="1146"/>
      <c r="P14" s="1146"/>
      <c r="Q14" s="1146"/>
      <c r="R14" s="1146"/>
      <c r="S14" s="1146"/>
      <c r="T14" s="1146"/>
      <c r="U14" s="1146"/>
      <c r="V14" s="1146"/>
      <c r="W14" s="1146"/>
      <c r="X14" s="1146" t="s">
        <v>300</v>
      </c>
    </row>
    <row r="15" spans="1:29" ht="14.25" customHeight="1">
      <c r="J15" s="29"/>
      <c r="K15" s="29"/>
      <c r="L15" s="1273" t="s">
        <v>84</v>
      </c>
      <c r="M15" s="1224" t="s">
        <v>427</v>
      </c>
      <c r="N15" s="170"/>
      <c r="O15" s="1274" t="s">
        <v>2196</v>
      </c>
      <c r="P15" s="1275"/>
      <c r="Q15" s="1275"/>
      <c r="R15" s="1275"/>
      <c r="S15" s="1275"/>
      <c r="T15" s="1275"/>
      <c r="U15" s="1276"/>
      <c r="V15" s="1277" t="s">
        <v>429</v>
      </c>
      <c r="W15" s="1280" t="s">
        <v>1121</v>
      </c>
      <c r="X15" s="1146"/>
    </row>
    <row r="16" spans="1:29" ht="33.75" customHeight="1">
      <c r="J16" s="29"/>
      <c r="K16" s="29"/>
      <c r="L16" s="1273"/>
      <c r="M16" s="1224"/>
      <c r="N16" s="595"/>
      <c r="O16" s="1193" t="s">
        <v>432</v>
      </c>
      <c r="P16" s="1193" t="s">
        <v>433</v>
      </c>
      <c r="Q16" s="1117" t="s">
        <v>434</v>
      </c>
      <c r="R16" s="1116"/>
      <c r="S16" s="1117" t="s">
        <v>448</v>
      </c>
      <c r="T16" s="1122"/>
      <c r="U16" s="1116"/>
      <c r="V16" s="1278"/>
      <c r="W16" s="1281"/>
      <c r="X16" s="1146"/>
    </row>
    <row r="17" spans="1:29" ht="33.75" customHeight="1">
      <c r="A17" s="81" t="s">
        <v>135</v>
      </c>
      <c r="B17" s="81" t="s">
        <v>136</v>
      </c>
      <c r="C17" s="81" t="s">
        <v>137</v>
      </c>
      <c r="D17" s="81" t="s">
        <v>138</v>
      </c>
      <c r="E17" s="81"/>
      <c r="J17" s="29"/>
      <c r="K17" s="29"/>
      <c r="L17" s="1273"/>
      <c r="M17" s="1224"/>
      <c r="N17" s="171"/>
      <c r="O17" s="1244"/>
      <c r="P17" s="1244"/>
      <c r="Q17" s="40" t="s">
        <v>443</v>
      </c>
      <c r="R17" s="40" t="s">
        <v>444</v>
      </c>
      <c r="S17" s="40" t="s">
        <v>445</v>
      </c>
      <c r="T17" s="1233" t="s">
        <v>446</v>
      </c>
      <c r="U17" s="1235"/>
      <c r="V17" s="1279"/>
      <c r="W17" s="1282"/>
      <c r="X17" s="1146"/>
    </row>
    <row r="18" spans="1:29" s="201" customFormat="1" ht="11.25" customHeight="1">
      <c r="A18" s="81"/>
      <c r="B18" s="81"/>
      <c r="C18" s="81"/>
      <c r="D18" s="81"/>
      <c r="E18" s="81"/>
      <c r="F18" s="497"/>
      <c r="G18" s="497"/>
      <c r="H18" s="497"/>
      <c r="I18" s="711"/>
      <c r="J18" s="712"/>
      <c r="K18" s="714">
        <v>1</v>
      </c>
      <c r="L18" s="731" t="s">
        <v>105</v>
      </c>
      <c r="M18" s="715" t="s">
        <v>106</v>
      </c>
      <c r="N18" s="710" t="str">
        <f ca="1">OFFSET(N18,0,-1)</f>
        <v>2</v>
      </c>
      <c r="O18" s="716">
        <f ca="1">OFFSET(O18,0,-1)+1</f>
        <v>3</v>
      </c>
      <c r="P18" s="716"/>
      <c r="Q18" s="716">
        <f ca="1">OFFSET(Q18,0,-1)+1</f>
        <v>1</v>
      </c>
      <c r="R18" s="716">
        <f ca="1">OFFSET(R18,0,-1)+1</f>
        <v>2</v>
      </c>
      <c r="S18" s="716">
        <f ca="1">OFFSET(S18,0,-1)+1</f>
        <v>3</v>
      </c>
      <c r="T18" s="1272">
        <f ca="1">OFFSET(T18,0,-1)+1</f>
        <v>4</v>
      </c>
      <c r="U18" s="1272"/>
      <c r="V18" s="716">
        <f ca="1">OFFSET(V18,0,-2)+1</f>
        <v>5</v>
      </c>
      <c r="W18" s="710">
        <f ca="1">OFFSET(W18,0,-1)</f>
        <v>5</v>
      </c>
      <c r="X18" s="716">
        <f ca="1">OFFSET(X18,0,-1)+1</f>
        <v>6</v>
      </c>
      <c r="Y18" s="68"/>
      <c r="Z18" s="68"/>
      <c r="AA18" s="68"/>
      <c r="AB18" s="68"/>
      <c r="AC18" s="68"/>
    </row>
    <row r="19" spans="1:29" ht="21" customHeight="1">
      <c r="A19" s="759" t="s">
        <v>169</v>
      </c>
      <c r="B19" s="759" t="s">
        <v>170</v>
      </c>
      <c r="C19" s="759" t="s">
        <v>171</v>
      </c>
      <c r="D19" s="759" t="s">
        <v>172</v>
      </c>
      <c r="E19" s="759"/>
      <c r="F19" s="417"/>
      <c r="G19" s="417"/>
      <c r="H19" s="417"/>
      <c r="J19" s="35"/>
      <c r="K19" s="205"/>
      <c r="L19" s="698">
        <f>INDEX(PT_DIFFERENTIATION_NUM_NTAR,MATCH(A19,PT_DIFFERENTIATION_NTAR_ID,0))</f>
        <v>0</v>
      </c>
      <c r="M19" s="67" t="s">
        <v>124</v>
      </c>
      <c r="N19" s="169"/>
      <c r="O19" s="1540" t="str">
        <f>INDEX(PT_DIFFERENTIATION_NTAR,MATCH(A19,PT_DIFFERENTIATION_NTAR_ID,0))</f>
        <v/>
      </c>
      <c r="P19" s="1540"/>
      <c r="Q19" s="1540"/>
      <c r="R19" s="1540"/>
      <c r="S19" s="1540"/>
      <c r="T19" s="1540"/>
      <c r="U19" s="1540"/>
      <c r="V19" s="1540"/>
      <c r="W19" s="1540"/>
      <c r="X19" s="718" t="s">
        <v>395</v>
      </c>
      <c r="Z19" s="69"/>
      <c r="AA19" s="69" t="str">
        <f t="shared" ref="AA19:AA32" si="0">IF(M19="","",M19)</f>
        <v>Наименование тарифа</v>
      </c>
      <c r="AB19" s="69"/>
      <c r="AC19" s="69"/>
    </row>
    <row r="20" spans="1:29" ht="21" customHeight="1">
      <c r="A20" s="759" t="s">
        <v>169</v>
      </c>
      <c r="B20" s="759" t="s">
        <v>170</v>
      </c>
      <c r="C20" s="759" t="s">
        <v>171</v>
      </c>
      <c r="D20" s="759" t="s">
        <v>172</v>
      </c>
      <c r="E20" s="759"/>
      <c r="F20" s="417"/>
      <c r="G20" s="417"/>
      <c r="H20" s="417"/>
      <c r="I20" s="59"/>
      <c r="J20" s="202"/>
      <c r="K20" s="203"/>
      <c r="L20" s="698" t="str">
        <f>INDEX(PT_DIFFERENTIATION_NUM_TER,MATCH(B19,PT_DIFFERENTIATION_TER_ID,0))</f>
        <v>.</v>
      </c>
      <c r="M20" s="175" t="s">
        <v>396</v>
      </c>
      <c r="N20" s="169"/>
      <c r="O20" s="1540" t="str">
        <f>INDEX(PT_DIFFERENTIATION_TER,MATCH(B19,PT_DIFFERENTIATION_TER_ID,0))</f>
        <v/>
      </c>
      <c r="P20" s="1540"/>
      <c r="Q20" s="1540"/>
      <c r="R20" s="1540"/>
      <c r="S20" s="1540"/>
      <c r="T20" s="1540"/>
      <c r="U20" s="1540"/>
      <c r="V20" s="1540"/>
      <c r="W20" s="1540"/>
      <c r="X20" s="718" t="s">
        <v>397</v>
      </c>
      <c r="Z20" s="69"/>
      <c r="AA20" s="69" t="str">
        <f t="shared" si="0"/>
        <v>Территория действия тарифа</v>
      </c>
      <c r="AB20" s="69"/>
      <c r="AC20" s="69"/>
    </row>
    <row r="21" spans="1:29" ht="22.5" customHeight="1">
      <c r="A21" s="759" t="s">
        <v>169</v>
      </c>
      <c r="B21" s="759" t="s">
        <v>170</v>
      </c>
      <c r="C21" s="759" t="s">
        <v>171</v>
      </c>
      <c r="D21" s="759" t="s">
        <v>172</v>
      </c>
      <c r="E21" s="759"/>
      <c r="F21" s="417"/>
      <c r="G21" s="417"/>
      <c r="H21" s="417"/>
      <c r="I21" s="204"/>
      <c r="J21" s="202"/>
      <c r="K21" s="203"/>
      <c r="L21" s="698" t="str">
        <f>INDEX(PT_DIFFERENTIATION_NUM_CS,MATCH(C19,PT_DIFFERENTIATION_CS_ID,0))</f>
        <v>..</v>
      </c>
      <c r="M21" s="176" t="s">
        <v>398</v>
      </c>
      <c r="N21" s="169"/>
      <c r="O21" s="1540" t="str">
        <f>INDEX(PT_DIFFERENTIATION_CS,MATCH(C19,PT_DIFFERENTIATION_CS_ID,0))</f>
        <v/>
      </c>
      <c r="P21" s="1540"/>
      <c r="Q21" s="1540"/>
      <c r="R21" s="1540"/>
      <c r="S21" s="1540"/>
      <c r="T21" s="1540"/>
      <c r="U21" s="1540"/>
      <c r="V21" s="1540"/>
      <c r="W21" s="1540"/>
      <c r="X21" s="718" t="s">
        <v>399</v>
      </c>
      <c r="Z21" s="69"/>
      <c r="AA21" s="69" t="str">
        <f t="shared" si="0"/>
        <v xml:space="preserve">Наименование системы теплоснабжения </v>
      </c>
      <c r="AB21" s="69"/>
      <c r="AC21" s="69"/>
    </row>
    <row r="22" spans="1:29" ht="21" customHeight="1">
      <c r="A22" s="759" t="s">
        <v>169</v>
      </c>
      <c r="B22" s="759" t="s">
        <v>170</v>
      </c>
      <c r="C22" s="759" t="s">
        <v>171</v>
      </c>
      <c r="D22" s="759" t="s">
        <v>172</v>
      </c>
      <c r="E22" s="759"/>
      <c r="F22" s="417"/>
      <c r="G22" s="417"/>
      <c r="H22" s="417"/>
      <c r="I22" s="204"/>
      <c r="J22" s="202"/>
      <c r="K22" s="203"/>
      <c r="L22" s="698" t="str">
        <f>INDEX(PT_DIFFERENTIATION_NUM_IST_TE,MATCH(D19,PT_DIFFERENTIATION_IST_TE_ID,0))</f>
        <v>...</v>
      </c>
      <c r="M22" s="177" t="s">
        <v>400</v>
      </c>
      <c r="N22" s="169"/>
      <c r="O22" s="1540" t="str">
        <f>INDEX(PT_DIFFERENTIATION_IST_TE,MATCH(D19,PT_DIFFERENTIATION_IST_TE_ID,0))</f>
        <v/>
      </c>
      <c r="P22" s="1540"/>
      <c r="Q22" s="1540"/>
      <c r="R22" s="1540"/>
      <c r="S22" s="1540"/>
      <c r="T22" s="1540"/>
      <c r="U22" s="1540"/>
      <c r="V22" s="1540"/>
      <c r="W22" s="1540"/>
      <c r="X22" s="718" t="s">
        <v>401</v>
      </c>
      <c r="Z22" s="69"/>
      <c r="AA22" s="69" t="str">
        <f t="shared" si="0"/>
        <v xml:space="preserve">Источник тепловой энергии  </v>
      </c>
      <c r="AB22" s="69"/>
      <c r="AC22" s="69"/>
    </row>
    <row r="23" spans="1:29" ht="94.5" customHeight="1">
      <c r="A23" s="759" t="s">
        <v>169</v>
      </c>
      <c r="B23" s="759" t="s">
        <v>170</v>
      </c>
      <c r="C23" s="759" t="s">
        <v>171</v>
      </c>
      <c r="D23" s="759" t="s">
        <v>172</v>
      </c>
      <c r="E23" s="759"/>
      <c r="F23" s="1232" t="str">
        <f>L22&amp;".1"</f>
        <v>....1</v>
      </c>
      <c r="I23" s="1264">
        <v>1</v>
      </c>
      <c r="J23" s="120"/>
      <c r="K23" s="206"/>
      <c r="L23" s="698" t="str">
        <f>$F$23</f>
        <v>....1</v>
      </c>
      <c r="M23" s="162" t="s">
        <v>403</v>
      </c>
      <c r="N23" s="169"/>
      <c r="O23" s="1541"/>
      <c r="P23" s="1541"/>
      <c r="Q23" s="1541"/>
      <c r="R23" s="1541"/>
      <c r="S23" s="1541"/>
      <c r="T23" s="1541"/>
      <c r="U23" s="1541"/>
      <c r="V23" s="1541"/>
      <c r="W23" s="1541"/>
      <c r="X23" s="718" t="s">
        <v>404</v>
      </c>
      <c r="Z23" s="69"/>
      <c r="AA23" s="69" t="str">
        <f t="shared" si="0"/>
        <v>Схема подключения теплопотребляющей установки к коллектору источника тепловой энергии</v>
      </c>
      <c r="AB23" s="69"/>
      <c r="AC23" s="69"/>
    </row>
    <row r="24" spans="1:29" ht="84" customHeight="1">
      <c r="A24" s="759" t="s">
        <v>169</v>
      </c>
      <c r="B24" s="759" t="s">
        <v>170</v>
      </c>
      <c r="C24" s="759" t="s">
        <v>171</v>
      </c>
      <c r="D24" s="759" t="s">
        <v>172</v>
      </c>
      <c r="E24" s="759"/>
      <c r="F24" s="1232"/>
      <c r="G24" s="1232" t="str">
        <f>F23&amp;".1"</f>
        <v>....1.1</v>
      </c>
      <c r="I24" s="1264"/>
      <c r="J24" s="1264">
        <v>1</v>
      </c>
      <c r="K24" s="207"/>
      <c r="L24" s="698" t="str">
        <f>$G$24</f>
        <v>....1.1</v>
      </c>
      <c r="M24" s="163" t="s">
        <v>406</v>
      </c>
      <c r="N24" s="169"/>
      <c r="O24" s="1542"/>
      <c r="P24" s="1543"/>
      <c r="Q24" s="1543"/>
      <c r="R24" s="1543"/>
      <c r="S24" s="1543"/>
      <c r="T24" s="1543"/>
      <c r="U24" s="1543"/>
      <c r="V24" s="1543"/>
      <c r="W24" s="1544"/>
      <c r="X24" s="718" t="s">
        <v>407</v>
      </c>
      <c r="Z24" s="69"/>
      <c r="AA24" s="69" t="str">
        <f t="shared" si="0"/>
        <v>Группа потребителей</v>
      </c>
      <c r="AB24" s="69"/>
      <c r="AC24" s="69"/>
    </row>
    <row r="25" spans="1:29" ht="11.25" customHeight="1">
      <c r="A25" s="759" t="s">
        <v>169</v>
      </c>
      <c r="B25" s="759" t="s">
        <v>170</v>
      </c>
      <c r="C25" s="759" t="s">
        <v>171</v>
      </c>
      <c r="D25" s="759" t="s">
        <v>172</v>
      </c>
      <c r="E25" s="759"/>
      <c r="F25" s="1232"/>
      <c r="G25" s="1232"/>
      <c r="H25" s="1232" t="str">
        <f>G24&amp;".1"</f>
        <v>....1.1.1</v>
      </c>
      <c r="I25" s="1264"/>
      <c r="J25" s="1264"/>
      <c r="K25" s="207">
        <v>1</v>
      </c>
      <c r="L25" s="698" t="str">
        <f>$H$25</f>
        <v>....1.1.1</v>
      </c>
      <c r="M25" s="719"/>
      <c r="N25" s="169"/>
      <c r="O25" s="304"/>
      <c r="P25" s="189"/>
      <c r="Q25" s="304"/>
      <c r="R25" s="717"/>
      <c r="S25" s="1268"/>
      <c r="T25" s="1127" t="s">
        <v>62</v>
      </c>
      <c r="U25" s="1268"/>
      <c r="V25" s="1127" t="s">
        <v>52</v>
      </c>
      <c r="W25" s="189"/>
      <c r="X25" s="1260" t="s">
        <v>409</v>
      </c>
      <c r="Y25" s="68" t="e">
        <f ca="1">STRCHECKDATE(O26:W26)</f>
        <v>#NAME?</v>
      </c>
      <c r="Z25" s="69"/>
      <c r="AA25" s="69" t="str">
        <f t="shared" si="0"/>
        <v/>
      </c>
      <c r="AB25" s="69"/>
      <c r="AC25" s="69"/>
    </row>
    <row r="26" spans="1:29" ht="11.25" customHeight="1">
      <c r="A26" s="759" t="s">
        <v>169</v>
      </c>
      <c r="B26" s="759" t="s">
        <v>170</v>
      </c>
      <c r="C26" s="759" t="s">
        <v>171</v>
      </c>
      <c r="D26" s="759" t="s">
        <v>172</v>
      </c>
      <c r="E26" s="759"/>
      <c r="F26" s="1232"/>
      <c r="G26" s="1232"/>
      <c r="H26" s="1232"/>
      <c r="I26" s="1264"/>
      <c r="J26" s="1264"/>
      <c r="K26" s="207"/>
      <c r="L26" s="65"/>
      <c r="M26" s="169"/>
      <c r="N26" s="169"/>
      <c r="O26" s="189"/>
      <c r="P26" s="189"/>
      <c r="Q26" s="189"/>
      <c r="R26" s="190" t="str">
        <f>S25&amp;"-"&amp;U25</f>
        <v>-</v>
      </c>
      <c r="S26" s="1269"/>
      <c r="T26" s="1127"/>
      <c r="U26" s="1269"/>
      <c r="V26" s="1127"/>
      <c r="W26" s="189"/>
      <c r="X26" s="1261"/>
      <c r="Z26" s="69"/>
      <c r="AA26" s="69" t="str">
        <f t="shared" si="0"/>
        <v/>
      </c>
      <c r="AB26" s="69"/>
      <c r="AC26" s="69"/>
    </row>
    <row r="27" spans="1:29" ht="15" customHeight="1">
      <c r="A27" s="759" t="s">
        <v>169</v>
      </c>
      <c r="B27" s="759" t="s">
        <v>170</v>
      </c>
      <c r="C27" s="759" t="s">
        <v>171</v>
      </c>
      <c r="D27" s="759" t="s">
        <v>172</v>
      </c>
      <c r="E27" s="759"/>
      <c r="F27" s="1232"/>
      <c r="G27" s="1232"/>
      <c r="I27" s="1264"/>
      <c r="J27" s="1264"/>
      <c r="K27" s="206"/>
      <c r="L27" s="732"/>
      <c r="M27" s="165" t="s">
        <v>410</v>
      </c>
      <c r="N27" s="211"/>
      <c r="O27" s="211"/>
      <c r="P27" s="211"/>
      <c r="Q27" s="211"/>
      <c r="R27" s="211"/>
      <c r="S27" s="211"/>
      <c r="T27" s="211"/>
      <c r="U27" s="211"/>
      <c r="V27" s="211"/>
      <c r="W27" s="188"/>
      <c r="X27" s="1262"/>
      <c r="Z27" s="69"/>
      <c r="AA27" s="69" t="str">
        <f t="shared" si="0"/>
        <v>Добавить вид теплоносителя (параметры теплоносителя)</v>
      </c>
      <c r="AB27" s="69"/>
      <c r="AC27" s="69"/>
    </row>
    <row r="28" spans="1:29" ht="15" customHeight="1">
      <c r="A28" s="759" t="s">
        <v>169</v>
      </c>
      <c r="B28" s="759" t="s">
        <v>170</v>
      </c>
      <c r="C28" s="759" t="s">
        <v>171</v>
      </c>
      <c r="D28" s="759" t="s">
        <v>172</v>
      </c>
      <c r="E28" s="759"/>
      <c r="F28" s="1232"/>
      <c r="I28" s="1264"/>
      <c r="J28" s="120"/>
      <c r="K28" s="206"/>
      <c r="L28" s="732"/>
      <c r="M28" s="164" t="s">
        <v>411</v>
      </c>
      <c r="N28" s="211"/>
      <c r="O28" s="211"/>
      <c r="P28" s="211"/>
      <c r="Q28" s="211"/>
      <c r="R28" s="211"/>
      <c r="S28" s="211"/>
      <c r="T28" s="211"/>
      <c r="U28" s="211"/>
      <c r="V28" s="210"/>
      <c r="W28" s="211"/>
      <c r="X28" s="172"/>
      <c r="Z28" s="69"/>
      <c r="AA28" s="69" t="str">
        <f t="shared" si="0"/>
        <v>Добавить группу потребителей</v>
      </c>
      <c r="AB28" s="69"/>
      <c r="AC28" s="69"/>
    </row>
    <row r="29" spans="1:29" ht="14.25" customHeight="1">
      <c r="A29" s="759" t="s">
        <v>169</v>
      </c>
      <c r="B29" s="759" t="s">
        <v>170</v>
      </c>
      <c r="C29" s="759" t="s">
        <v>171</v>
      </c>
      <c r="D29" s="759" t="s">
        <v>172</v>
      </c>
      <c r="E29" s="759"/>
      <c r="F29" s="417"/>
      <c r="G29" s="417"/>
      <c r="H29" s="63"/>
      <c r="I29" s="35"/>
      <c r="J29" s="214"/>
      <c r="K29" s="205"/>
      <c r="L29" s="732"/>
      <c r="M29" s="209" t="s">
        <v>412</v>
      </c>
      <c r="N29" s="211"/>
      <c r="O29" s="211"/>
      <c r="P29" s="211"/>
      <c r="Q29" s="211"/>
      <c r="R29" s="211"/>
      <c r="S29" s="211"/>
      <c r="T29" s="211"/>
      <c r="U29" s="211"/>
      <c r="V29" s="210"/>
      <c r="W29" s="211"/>
      <c r="X29" s="172"/>
      <c r="Z29" s="69"/>
      <c r="AA29" s="69" t="str">
        <f t="shared" si="0"/>
        <v>Добавить схему подключения</v>
      </c>
      <c r="AB29" s="69"/>
      <c r="AC29" s="69"/>
    </row>
    <row r="30" spans="1:29" ht="14.25" customHeight="1">
      <c r="A30" s="759" t="s">
        <v>169</v>
      </c>
      <c r="B30" s="759" t="s">
        <v>170</v>
      </c>
      <c r="C30" s="759" t="s">
        <v>171</v>
      </c>
      <c r="D30" s="759"/>
      <c r="E30" s="759" t="s">
        <v>587</v>
      </c>
      <c r="F30" s="417"/>
      <c r="G30" s="417"/>
      <c r="H30" s="63"/>
      <c r="I30" s="35"/>
      <c r="J30" s="214"/>
      <c r="K30" s="205"/>
      <c r="L30" s="733"/>
      <c r="M30" s="722"/>
      <c r="N30" s="723"/>
      <c r="O30" s="723"/>
      <c r="P30" s="723"/>
      <c r="Q30" s="723"/>
      <c r="R30" s="723"/>
      <c r="S30" s="723"/>
      <c r="T30" s="723"/>
      <c r="U30" s="723"/>
      <c r="V30" s="724"/>
      <c r="W30" s="723"/>
      <c r="X30" s="725"/>
      <c r="Z30" s="69"/>
      <c r="AA30" s="69" t="str">
        <f t="shared" si="0"/>
        <v/>
      </c>
      <c r="AB30" s="69"/>
      <c r="AC30" s="69"/>
    </row>
    <row r="31" spans="1:29" ht="14.25" customHeight="1">
      <c r="A31" s="759" t="s">
        <v>169</v>
      </c>
      <c r="B31" s="759" t="s">
        <v>170</v>
      </c>
      <c r="C31" s="759"/>
      <c r="D31" s="759"/>
      <c r="E31" s="759" t="s">
        <v>2197</v>
      </c>
      <c r="F31" s="820"/>
      <c r="G31" s="820"/>
      <c r="H31" s="63"/>
      <c r="I31" s="47"/>
      <c r="J31" s="214"/>
      <c r="K31" s="208"/>
      <c r="L31" s="733"/>
      <c r="M31" s="726"/>
      <c r="N31" s="723"/>
      <c r="O31" s="723"/>
      <c r="P31" s="723"/>
      <c r="Q31" s="723"/>
      <c r="R31" s="723"/>
      <c r="S31" s="723"/>
      <c r="T31" s="723"/>
      <c r="U31" s="723"/>
      <c r="V31" s="724"/>
      <c r="W31" s="723"/>
      <c r="X31" s="725"/>
      <c r="Z31" s="69"/>
      <c r="AA31" s="69" t="str">
        <f t="shared" si="0"/>
        <v/>
      </c>
      <c r="AB31" s="69"/>
      <c r="AC31" s="69"/>
    </row>
    <row r="32" spans="1:29" ht="14.25" customHeight="1">
      <c r="A32" s="759" t="s">
        <v>2198</v>
      </c>
      <c r="B32" s="759"/>
      <c r="C32" s="759"/>
      <c r="D32" s="759"/>
      <c r="E32" s="759" t="s">
        <v>100</v>
      </c>
      <c r="F32" s="820"/>
      <c r="G32" s="820"/>
      <c r="H32" s="63"/>
      <c r="I32" s="35"/>
      <c r="J32" s="214"/>
      <c r="K32" s="205"/>
      <c r="L32" s="733"/>
      <c r="M32" s="727"/>
      <c r="N32" s="723"/>
      <c r="O32" s="723"/>
      <c r="P32" s="723"/>
      <c r="Q32" s="723"/>
      <c r="R32" s="723"/>
      <c r="S32" s="723"/>
      <c r="T32" s="723"/>
      <c r="U32" s="723"/>
      <c r="V32" s="724"/>
      <c r="W32" s="723"/>
      <c r="X32" s="725"/>
      <c r="Z32" s="69"/>
      <c r="AA32" s="69" t="str">
        <f t="shared" si="0"/>
        <v/>
      </c>
      <c r="AB32" s="69"/>
      <c r="AC32" s="69"/>
    </row>
    <row r="33" spans="1:29" ht="11.25" customHeight="1">
      <c r="A33" s="759"/>
      <c r="B33" s="759"/>
      <c r="C33" s="759"/>
      <c r="D33" s="759"/>
      <c r="E33" s="759" t="s">
        <v>447</v>
      </c>
      <c r="F33" s="820"/>
      <c r="G33" s="824"/>
      <c r="H33" s="63"/>
      <c r="I33"/>
      <c r="J33"/>
      <c r="K33"/>
      <c r="L33" s="734"/>
      <c r="M33" s="728"/>
      <c r="N33" s="723"/>
      <c r="O33" s="723"/>
      <c r="P33" s="723"/>
      <c r="Q33" s="723"/>
      <c r="R33" s="723"/>
      <c r="S33" s="723"/>
      <c r="T33" s="723"/>
      <c r="U33" s="723"/>
      <c r="V33" s="724"/>
      <c r="W33" s="723"/>
      <c r="X33" s="725"/>
      <c r="Y33" s="102"/>
      <c r="Z33" s="102"/>
      <c r="AA33" s="102"/>
      <c r="AB33" s="102"/>
      <c r="AC33" s="102"/>
    </row>
    <row r="34" spans="1:29" ht="11.25" customHeight="1">
      <c r="F34" s="63"/>
      <c r="G34" s="63"/>
      <c r="H34" s="63"/>
      <c r="I34" s="12"/>
      <c r="J34" s="12"/>
      <c r="K34" s="12"/>
      <c r="Y34" s="12"/>
      <c r="Z34" s="12"/>
      <c r="AA34" s="12"/>
      <c r="AB34" s="12"/>
      <c r="AC34" s="12"/>
    </row>
    <row r="35" spans="1:29" ht="27" customHeight="1">
      <c r="H35" s="63"/>
      <c r="L35" s="364" t="s">
        <v>719</v>
      </c>
      <c r="M35" s="1285" t="s">
        <v>2199</v>
      </c>
      <c r="N35" s="1285"/>
      <c r="O35" s="1285"/>
      <c r="P35" s="1285"/>
      <c r="Q35" s="1285"/>
      <c r="R35" s="1285"/>
      <c r="S35" s="1285"/>
      <c r="T35" s="1285"/>
      <c r="U35" s="1285"/>
      <c r="V35" s="1285"/>
      <c r="W35" s="1285"/>
      <c r="X35" s="1285"/>
    </row>
    <row r="36" spans="1:29" ht="104.25" customHeight="1">
      <c r="H36" s="63"/>
      <c r="M36" s="1285" t="s">
        <v>2200</v>
      </c>
      <c r="N36" s="1285"/>
      <c r="O36" s="1285"/>
      <c r="P36" s="1285"/>
      <c r="Q36" s="1285"/>
      <c r="R36" s="1285"/>
      <c r="S36" s="1285"/>
      <c r="T36" s="1285"/>
      <c r="U36" s="1285"/>
      <c r="V36" s="1285"/>
      <c r="W36" s="1285"/>
      <c r="X36" s="1285"/>
    </row>
    <row r="37" spans="1:29" ht="14.25" customHeight="1">
      <c r="H37" s="63"/>
    </row>
    <row r="38" spans="1:29" ht="14.25" customHeight="1">
      <c r="H38" s="63"/>
    </row>
    <row r="39" spans="1:29" ht="14.25" customHeight="1">
      <c r="H39" s="63"/>
    </row>
    <row r="40" spans="1:29" ht="14.25" customHeight="1">
      <c r="H40" s="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D00-000000000000}"/>
    <dataValidation allowBlank="1" promptTitle="checkPeriodRange" sqref="R26 R65562 R131098 R196634 R262170 R327706 R393242 R458778 R524314 R589850 R655386 R720922 R786458 R851994 R917530 R983066" xr:uid="{00000000-0002-0000-3D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D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D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D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D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D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D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6FCDC-D98A-571F-D58A-E5C850DBF76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C0E64-349F-37AD-8F81-D1F45E572FA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68EE9-234D-7594-D6AA-11270326DE2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4E211-131A-7CD6-FD71-75544B74821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022A1-E8FB-8F73-0429-D332299BA46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1A5A7-7988-FA72-33B1-725376E2A80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E29CE-10E7-0953-3933-EFAE4813575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11578-109E-51F9-AAA7-958387EB1F5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AC711-88BD-6A8B-C55C-BF1A84CFBF59}">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1084" t="s">
        <v>2201</v>
      </c>
      <c r="B1" s="1085" t="s">
        <v>2202</v>
      </c>
      <c r="C1" s="1545" t="s">
        <v>2203</v>
      </c>
      <c r="D1" s="1546"/>
      <c r="E1" s="427" t="s">
        <v>2204</v>
      </c>
    </row>
    <row r="2" spans="1:5" ht="11.25" customHeight="1">
      <c r="A2" s="1086"/>
      <c r="B2" s="430" t="s">
        <v>23</v>
      </c>
      <c r="C2" s="427"/>
      <c r="D2" s="429"/>
      <c r="E2" s="427"/>
    </row>
    <row r="3" spans="1:5" ht="11.25" customHeight="1">
      <c r="A3" s="1087"/>
      <c r="B3" s="1088" t="s">
        <v>29</v>
      </c>
      <c r="C3" s="427"/>
      <c r="D3" s="429"/>
      <c r="E3" s="427"/>
    </row>
    <row r="4" spans="1:5" ht="11.25" customHeight="1">
      <c r="A4" s="1089"/>
      <c r="B4" s="431" t="s">
        <v>1625</v>
      </c>
      <c r="C4" s="427"/>
      <c r="D4" s="429"/>
      <c r="E4" s="427"/>
    </row>
    <row r="5" spans="1:5" ht="11.25" customHeight="1">
      <c r="A5" s="1090"/>
      <c r="B5" s="431" t="s">
        <v>1620</v>
      </c>
      <c r="C5" s="1091" t="s">
        <v>1960</v>
      </c>
      <c r="D5" s="1092" t="s">
        <v>2205</v>
      </c>
      <c r="E5" s="427"/>
    </row>
    <row r="6" spans="1:5" ht="11.25" customHeight="1">
      <c r="A6" s="1093"/>
      <c r="B6" s="431" t="s">
        <v>1629</v>
      </c>
      <c r="C6" s="427"/>
      <c r="D6" s="429"/>
      <c r="E6" s="427"/>
    </row>
    <row r="7" spans="1:5" ht="11.25" customHeight="1">
      <c r="A7" s="1094"/>
      <c r="B7" s="431" t="s">
        <v>1637</v>
      </c>
      <c r="C7" s="427"/>
      <c r="D7" s="429"/>
      <c r="E7" s="427"/>
    </row>
    <row r="8" spans="1:5" ht="11.25" customHeight="1">
      <c r="A8" s="428"/>
      <c r="B8" s="431" t="s">
        <v>1632</v>
      </c>
      <c r="C8" s="427"/>
      <c r="D8" s="429"/>
      <c r="E8" s="42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0CC13-538B-F7EC-0F4E-96DF53B3483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A8715-EBF1-558B-BE8E-5A0C7FCE5D4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F5C4A-14A3-F815-506C-A5FA5AAEA496}">
  <sheetPr>
    <tabColor rgb="FFFFCC99"/>
  </sheetPr>
  <dimension ref="A1:I378"/>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2206</v>
      </c>
      <c r="B1" t="s">
        <v>2207</v>
      </c>
      <c r="C1" t="s">
        <v>2208</v>
      </c>
      <c r="D1" t="s">
        <v>2209</v>
      </c>
      <c r="E1" t="s">
        <v>2210</v>
      </c>
      <c r="F1" t="s">
        <v>2211</v>
      </c>
      <c r="G1" t="s">
        <v>2212</v>
      </c>
      <c r="H1" t="s">
        <v>2213</v>
      </c>
      <c r="I1" t="s">
        <v>2214</v>
      </c>
    </row>
    <row r="2" spans="1:9" ht="11.25" customHeight="1">
      <c r="A2" t="s">
        <v>2215</v>
      </c>
      <c r="B2" t="s">
        <v>14</v>
      </c>
      <c r="C2" t="s">
        <v>2216</v>
      </c>
      <c r="D2" t="s">
        <v>2217</v>
      </c>
      <c r="E2" t="s">
        <v>2218</v>
      </c>
      <c r="F2" t="s">
        <v>2219</v>
      </c>
      <c r="G2" t="s">
        <v>2220</v>
      </c>
      <c r="H2" t="s">
        <v>18</v>
      </c>
      <c r="I2" t="s">
        <v>723</v>
      </c>
    </row>
    <row r="3" spans="1:9" ht="11.25" customHeight="1">
      <c r="A3" t="s">
        <v>2215</v>
      </c>
      <c r="B3" t="s">
        <v>14</v>
      </c>
      <c r="C3" t="s">
        <v>2221</v>
      </c>
      <c r="D3" t="s">
        <v>2217</v>
      </c>
      <c r="E3" t="s">
        <v>2218</v>
      </c>
      <c r="F3" t="s">
        <v>2222</v>
      </c>
      <c r="G3" t="s">
        <v>2223</v>
      </c>
      <c r="H3" t="s">
        <v>18</v>
      </c>
      <c r="I3" t="s">
        <v>723</v>
      </c>
    </row>
    <row r="4" spans="1:9" ht="11.25" customHeight="1">
      <c r="A4" t="s">
        <v>2215</v>
      </c>
      <c r="B4" t="s">
        <v>14</v>
      </c>
      <c r="C4" t="s">
        <v>2224</v>
      </c>
      <c r="D4" t="s">
        <v>2225</v>
      </c>
      <c r="E4" t="s">
        <v>2226</v>
      </c>
      <c r="F4" t="s">
        <v>2227</v>
      </c>
      <c r="G4" t="s">
        <v>18</v>
      </c>
      <c r="H4" t="s">
        <v>18</v>
      </c>
      <c r="I4" t="s">
        <v>723</v>
      </c>
    </row>
    <row r="5" spans="1:9" ht="11.25" customHeight="1">
      <c r="A5" t="s">
        <v>2215</v>
      </c>
      <c r="B5" t="s">
        <v>14</v>
      </c>
      <c r="C5" t="s">
        <v>2228</v>
      </c>
      <c r="D5" t="s">
        <v>2229</v>
      </c>
      <c r="E5" t="s">
        <v>2230</v>
      </c>
      <c r="F5" t="s">
        <v>2231</v>
      </c>
      <c r="G5" t="s">
        <v>2232</v>
      </c>
      <c r="H5" t="s">
        <v>18</v>
      </c>
      <c r="I5" t="s">
        <v>723</v>
      </c>
    </row>
    <row r="6" spans="1:9" ht="11.25" customHeight="1">
      <c r="A6" t="s">
        <v>2215</v>
      </c>
      <c r="B6" t="s">
        <v>14</v>
      </c>
      <c r="C6" t="s">
        <v>2233</v>
      </c>
      <c r="D6" t="s">
        <v>2234</v>
      </c>
      <c r="E6" t="s">
        <v>2235</v>
      </c>
      <c r="F6" t="s">
        <v>2236</v>
      </c>
      <c r="G6" t="s">
        <v>18</v>
      </c>
      <c r="H6" t="s">
        <v>18</v>
      </c>
      <c r="I6" t="s">
        <v>723</v>
      </c>
    </row>
    <row r="7" spans="1:9" ht="11.25" customHeight="1">
      <c r="A7" t="s">
        <v>2215</v>
      </c>
      <c r="B7" t="s">
        <v>14</v>
      </c>
      <c r="C7" t="s">
        <v>2237</v>
      </c>
      <c r="D7" t="s">
        <v>2238</v>
      </c>
      <c r="E7" t="s">
        <v>2239</v>
      </c>
      <c r="F7" t="s">
        <v>2236</v>
      </c>
      <c r="G7" t="s">
        <v>2240</v>
      </c>
      <c r="H7" t="s">
        <v>18</v>
      </c>
      <c r="I7" t="s">
        <v>723</v>
      </c>
    </row>
    <row r="8" spans="1:9" ht="11.25" customHeight="1">
      <c r="A8" t="s">
        <v>2215</v>
      </c>
      <c r="B8" t="s">
        <v>14</v>
      </c>
      <c r="C8" t="s">
        <v>2241</v>
      </c>
      <c r="D8" t="s">
        <v>2242</v>
      </c>
      <c r="E8" t="s">
        <v>2243</v>
      </c>
      <c r="F8" t="s">
        <v>2244</v>
      </c>
      <c r="G8" t="s">
        <v>18</v>
      </c>
      <c r="H8" t="s">
        <v>18</v>
      </c>
      <c r="I8" t="s">
        <v>723</v>
      </c>
    </row>
    <row r="9" spans="1:9" ht="11.25" customHeight="1">
      <c r="A9" t="s">
        <v>2215</v>
      </c>
      <c r="B9" t="s">
        <v>14</v>
      </c>
      <c r="C9" t="s">
        <v>2245</v>
      </c>
      <c r="D9" t="s">
        <v>2246</v>
      </c>
      <c r="E9" t="s">
        <v>2247</v>
      </c>
      <c r="F9" t="s">
        <v>2231</v>
      </c>
      <c r="G9" t="s">
        <v>18</v>
      </c>
      <c r="H9" t="s">
        <v>18</v>
      </c>
      <c r="I9" t="s">
        <v>723</v>
      </c>
    </row>
    <row r="10" spans="1:9" ht="11.25" customHeight="1">
      <c r="A10" t="s">
        <v>2215</v>
      </c>
      <c r="B10" t="s">
        <v>14</v>
      </c>
      <c r="C10" t="s">
        <v>2248</v>
      </c>
      <c r="D10" t="s">
        <v>2249</v>
      </c>
      <c r="E10" t="s">
        <v>2250</v>
      </c>
      <c r="F10" t="s">
        <v>2231</v>
      </c>
      <c r="G10" t="s">
        <v>2251</v>
      </c>
      <c r="H10" t="s">
        <v>18</v>
      </c>
      <c r="I10" t="s">
        <v>723</v>
      </c>
    </row>
    <row r="11" spans="1:9" ht="11.25" customHeight="1">
      <c r="A11" t="s">
        <v>2215</v>
      </c>
      <c r="B11" t="s">
        <v>14</v>
      </c>
      <c r="C11" t="s">
        <v>2252</v>
      </c>
      <c r="D11" t="s">
        <v>2253</v>
      </c>
      <c r="E11" t="s">
        <v>2254</v>
      </c>
      <c r="F11" t="s">
        <v>2231</v>
      </c>
      <c r="G11" t="s">
        <v>18</v>
      </c>
      <c r="H11" t="s">
        <v>18</v>
      </c>
      <c r="I11" t="s">
        <v>723</v>
      </c>
    </row>
    <row r="12" spans="1:9" ht="11.25" customHeight="1">
      <c r="A12" t="s">
        <v>2215</v>
      </c>
      <c r="B12" t="s">
        <v>14</v>
      </c>
      <c r="C12" t="s">
        <v>2255</v>
      </c>
      <c r="D12" t="s">
        <v>2256</v>
      </c>
      <c r="E12" t="s">
        <v>2257</v>
      </c>
      <c r="F12" t="s">
        <v>2258</v>
      </c>
      <c r="G12" t="s">
        <v>18</v>
      </c>
      <c r="H12" t="s">
        <v>18</v>
      </c>
      <c r="I12" t="s">
        <v>723</v>
      </c>
    </row>
    <row r="13" spans="1:9" ht="11.25" customHeight="1">
      <c r="A13" t="s">
        <v>2215</v>
      </c>
      <c r="B13" t="s">
        <v>14</v>
      </c>
      <c r="C13" t="s">
        <v>2259</v>
      </c>
      <c r="D13" t="s">
        <v>2260</v>
      </c>
      <c r="E13" t="s">
        <v>2261</v>
      </c>
      <c r="F13" t="s">
        <v>2262</v>
      </c>
      <c r="G13" t="s">
        <v>2263</v>
      </c>
      <c r="H13" t="s">
        <v>18</v>
      </c>
      <c r="I13" t="s">
        <v>723</v>
      </c>
    </row>
    <row r="14" spans="1:9" ht="11.25" customHeight="1">
      <c r="A14" t="s">
        <v>2215</v>
      </c>
      <c r="B14" t="s">
        <v>14</v>
      </c>
      <c r="C14" t="s">
        <v>2264</v>
      </c>
      <c r="D14" t="s">
        <v>2265</v>
      </c>
      <c r="E14" t="s">
        <v>2266</v>
      </c>
      <c r="F14" t="s">
        <v>2267</v>
      </c>
      <c r="G14" t="s">
        <v>18</v>
      </c>
      <c r="H14" t="s">
        <v>18</v>
      </c>
      <c r="I14" t="s">
        <v>723</v>
      </c>
    </row>
    <row r="15" spans="1:9" ht="11.25" customHeight="1">
      <c r="A15" t="s">
        <v>2215</v>
      </c>
      <c r="B15" t="s">
        <v>14</v>
      </c>
      <c r="C15" t="s">
        <v>2268</v>
      </c>
      <c r="D15" t="s">
        <v>41</v>
      </c>
      <c r="E15" t="s">
        <v>44</v>
      </c>
      <c r="F15" t="s">
        <v>46</v>
      </c>
      <c r="G15" t="s">
        <v>2269</v>
      </c>
      <c r="H15" t="s">
        <v>18</v>
      </c>
      <c r="I15" t="s">
        <v>723</v>
      </c>
    </row>
    <row r="16" spans="1:9" ht="11.25" customHeight="1">
      <c r="A16" t="s">
        <v>2215</v>
      </c>
      <c r="B16" t="s">
        <v>14</v>
      </c>
      <c r="C16" t="s">
        <v>2270</v>
      </c>
      <c r="D16" t="s">
        <v>2271</v>
      </c>
      <c r="E16" t="s">
        <v>2272</v>
      </c>
      <c r="F16" t="s">
        <v>2273</v>
      </c>
      <c r="G16" t="s">
        <v>18</v>
      </c>
      <c r="H16" t="s">
        <v>18</v>
      </c>
      <c r="I16" t="s">
        <v>723</v>
      </c>
    </row>
    <row r="17" spans="1:9" ht="11.25" customHeight="1">
      <c r="A17" t="s">
        <v>2215</v>
      </c>
      <c r="B17" t="s">
        <v>14</v>
      </c>
      <c r="C17" t="s">
        <v>2274</v>
      </c>
      <c r="D17" t="s">
        <v>2275</v>
      </c>
      <c r="E17" t="s">
        <v>2276</v>
      </c>
      <c r="F17" t="s">
        <v>2231</v>
      </c>
      <c r="G17" t="s">
        <v>2277</v>
      </c>
      <c r="H17" t="s">
        <v>18</v>
      </c>
      <c r="I17" t="s">
        <v>723</v>
      </c>
    </row>
    <row r="18" spans="1:9" ht="11.25" customHeight="1">
      <c r="A18" t="s">
        <v>2215</v>
      </c>
      <c r="B18" t="s">
        <v>14</v>
      </c>
      <c r="C18" t="s">
        <v>2278</v>
      </c>
      <c r="D18" t="s">
        <v>2279</v>
      </c>
      <c r="E18" t="s">
        <v>2280</v>
      </c>
      <c r="F18" t="s">
        <v>2281</v>
      </c>
      <c r="G18" t="s">
        <v>18</v>
      </c>
      <c r="H18" t="s">
        <v>18</v>
      </c>
      <c r="I18" t="s">
        <v>723</v>
      </c>
    </row>
    <row r="19" spans="1:9" ht="11.25" customHeight="1">
      <c r="A19" t="s">
        <v>2215</v>
      </c>
      <c r="B19" t="s">
        <v>14</v>
      </c>
      <c r="C19" t="s">
        <v>2282</v>
      </c>
      <c r="D19" t="s">
        <v>2283</v>
      </c>
      <c r="E19" t="s">
        <v>2284</v>
      </c>
      <c r="F19" t="s">
        <v>2231</v>
      </c>
      <c r="G19" t="s">
        <v>18</v>
      </c>
      <c r="H19" t="s">
        <v>18</v>
      </c>
      <c r="I19" t="s">
        <v>723</v>
      </c>
    </row>
    <row r="20" spans="1:9" ht="11.25" customHeight="1">
      <c r="A20" t="s">
        <v>2215</v>
      </c>
      <c r="B20" t="s">
        <v>14</v>
      </c>
      <c r="C20" t="s">
        <v>2285</v>
      </c>
      <c r="D20" t="s">
        <v>2286</v>
      </c>
      <c r="E20" t="s">
        <v>2287</v>
      </c>
      <c r="F20" t="s">
        <v>2231</v>
      </c>
      <c r="G20" t="s">
        <v>2288</v>
      </c>
      <c r="H20" t="s">
        <v>18</v>
      </c>
      <c r="I20" t="s">
        <v>723</v>
      </c>
    </row>
    <row r="21" spans="1:9" ht="11.25" customHeight="1">
      <c r="A21" t="s">
        <v>2215</v>
      </c>
      <c r="B21" t="s">
        <v>14</v>
      </c>
      <c r="C21" t="s">
        <v>2289</v>
      </c>
      <c r="D21" t="s">
        <v>2290</v>
      </c>
      <c r="E21" t="s">
        <v>2291</v>
      </c>
      <c r="F21" t="s">
        <v>2258</v>
      </c>
      <c r="G21" t="s">
        <v>18</v>
      </c>
      <c r="H21" t="s">
        <v>2292</v>
      </c>
      <c r="I21" t="s">
        <v>723</v>
      </c>
    </row>
    <row r="22" spans="1:9" ht="11.25" customHeight="1">
      <c r="A22" t="s">
        <v>2215</v>
      </c>
      <c r="B22" t="s">
        <v>14</v>
      </c>
      <c r="C22" t="s">
        <v>2293</v>
      </c>
      <c r="D22" t="s">
        <v>2294</v>
      </c>
      <c r="E22" t="s">
        <v>2295</v>
      </c>
      <c r="F22" t="s">
        <v>2296</v>
      </c>
      <c r="G22" t="s">
        <v>2297</v>
      </c>
      <c r="H22" t="s">
        <v>2298</v>
      </c>
      <c r="I22" t="s">
        <v>723</v>
      </c>
    </row>
    <row r="23" spans="1:9" ht="11.25" customHeight="1">
      <c r="A23" t="s">
        <v>2215</v>
      </c>
      <c r="B23" t="s">
        <v>14</v>
      </c>
      <c r="C23" t="s">
        <v>18</v>
      </c>
      <c r="D23" t="s">
        <v>2299</v>
      </c>
      <c r="E23" t="s">
        <v>2300</v>
      </c>
      <c r="F23" t="s">
        <v>2231</v>
      </c>
      <c r="G23" t="s">
        <v>18</v>
      </c>
      <c r="H23" t="s">
        <v>18</v>
      </c>
      <c r="I23" t="s">
        <v>723</v>
      </c>
    </row>
    <row r="24" spans="1:9" ht="11.25" customHeight="1">
      <c r="A24" t="s">
        <v>2215</v>
      </c>
      <c r="B24" t="s">
        <v>14</v>
      </c>
      <c r="C24" t="s">
        <v>2301</v>
      </c>
      <c r="D24" t="s">
        <v>2302</v>
      </c>
      <c r="E24" t="s">
        <v>2303</v>
      </c>
      <c r="F24" t="s">
        <v>2227</v>
      </c>
      <c r="G24" t="s">
        <v>18</v>
      </c>
      <c r="H24" t="s">
        <v>2304</v>
      </c>
      <c r="I24" t="s">
        <v>723</v>
      </c>
    </row>
    <row r="25" spans="1:9" ht="11.25" customHeight="1">
      <c r="A25" t="s">
        <v>2215</v>
      </c>
      <c r="B25" t="s">
        <v>14</v>
      </c>
      <c r="C25" t="s">
        <v>2305</v>
      </c>
      <c r="D25" t="s">
        <v>2306</v>
      </c>
      <c r="E25" t="s">
        <v>2307</v>
      </c>
      <c r="F25" t="s">
        <v>2308</v>
      </c>
      <c r="G25" t="s">
        <v>18</v>
      </c>
      <c r="H25" t="s">
        <v>18</v>
      </c>
      <c r="I25" t="s">
        <v>723</v>
      </c>
    </row>
    <row r="26" spans="1:9" ht="11.25" customHeight="1">
      <c r="A26" t="s">
        <v>2215</v>
      </c>
      <c r="B26" t="s">
        <v>14</v>
      </c>
      <c r="C26" t="s">
        <v>2309</v>
      </c>
      <c r="D26" t="s">
        <v>2310</v>
      </c>
      <c r="E26" t="s">
        <v>2311</v>
      </c>
      <c r="F26" t="s">
        <v>2227</v>
      </c>
      <c r="G26" t="s">
        <v>18</v>
      </c>
      <c r="H26" t="s">
        <v>18</v>
      </c>
      <c r="I26" t="s">
        <v>723</v>
      </c>
    </row>
    <row r="27" spans="1:9" ht="11.25" customHeight="1">
      <c r="A27" t="s">
        <v>2215</v>
      </c>
      <c r="B27" t="s">
        <v>14</v>
      </c>
      <c r="C27" t="s">
        <v>2312</v>
      </c>
      <c r="D27" t="s">
        <v>2313</v>
      </c>
      <c r="E27" t="s">
        <v>2314</v>
      </c>
      <c r="F27" t="s">
        <v>2308</v>
      </c>
      <c r="G27" t="s">
        <v>2315</v>
      </c>
      <c r="H27" t="s">
        <v>18</v>
      </c>
      <c r="I27" t="s">
        <v>723</v>
      </c>
    </row>
    <row r="28" spans="1:9" ht="11.25" customHeight="1">
      <c r="A28" t="s">
        <v>2215</v>
      </c>
      <c r="B28" t="s">
        <v>14</v>
      </c>
      <c r="C28" t="s">
        <v>2316</v>
      </c>
      <c r="D28" t="s">
        <v>2317</v>
      </c>
      <c r="E28" t="s">
        <v>2318</v>
      </c>
      <c r="F28" t="s">
        <v>2308</v>
      </c>
      <c r="G28" t="s">
        <v>2319</v>
      </c>
      <c r="H28" t="s">
        <v>18</v>
      </c>
      <c r="I28" t="s">
        <v>723</v>
      </c>
    </row>
    <row r="29" spans="1:9" ht="11.25" customHeight="1">
      <c r="A29" t="s">
        <v>2215</v>
      </c>
      <c r="B29" t="s">
        <v>14</v>
      </c>
      <c r="C29" t="s">
        <v>2320</v>
      </c>
      <c r="D29" t="s">
        <v>2321</v>
      </c>
      <c r="E29" t="s">
        <v>2322</v>
      </c>
      <c r="F29" t="s">
        <v>2244</v>
      </c>
      <c r="G29" t="s">
        <v>2323</v>
      </c>
      <c r="H29" t="s">
        <v>2324</v>
      </c>
      <c r="I29" t="s">
        <v>723</v>
      </c>
    </row>
    <row r="30" spans="1:9" ht="11.25" customHeight="1">
      <c r="A30" t="s">
        <v>2215</v>
      </c>
      <c r="B30" t="s">
        <v>14</v>
      </c>
      <c r="C30" t="s">
        <v>2325</v>
      </c>
      <c r="D30" t="s">
        <v>2326</v>
      </c>
      <c r="E30" t="s">
        <v>2327</v>
      </c>
      <c r="F30" t="s">
        <v>2296</v>
      </c>
      <c r="G30" t="s">
        <v>2328</v>
      </c>
      <c r="H30" t="s">
        <v>18</v>
      </c>
      <c r="I30" t="s">
        <v>723</v>
      </c>
    </row>
    <row r="31" spans="1:9" ht="11.25" customHeight="1">
      <c r="A31" t="s">
        <v>2215</v>
      </c>
      <c r="B31" t="s">
        <v>14</v>
      </c>
      <c r="C31" t="s">
        <v>2329</v>
      </c>
      <c r="D31" t="s">
        <v>2330</v>
      </c>
      <c r="E31" t="s">
        <v>2331</v>
      </c>
      <c r="F31" t="s">
        <v>2332</v>
      </c>
      <c r="G31" t="s">
        <v>18</v>
      </c>
      <c r="H31" t="s">
        <v>18</v>
      </c>
      <c r="I31" t="s">
        <v>723</v>
      </c>
    </row>
    <row r="32" spans="1:9" ht="11.25" customHeight="1">
      <c r="A32" t="s">
        <v>2215</v>
      </c>
      <c r="B32" t="s">
        <v>14</v>
      </c>
      <c r="C32" t="s">
        <v>2333</v>
      </c>
      <c r="D32" t="s">
        <v>2334</v>
      </c>
      <c r="E32" t="s">
        <v>2335</v>
      </c>
      <c r="F32" t="s">
        <v>2262</v>
      </c>
      <c r="G32" t="s">
        <v>18</v>
      </c>
      <c r="H32" t="s">
        <v>18</v>
      </c>
      <c r="I32" t="s">
        <v>723</v>
      </c>
    </row>
    <row r="33" spans="1:9" ht="11.25" customHeight="1">
      <c r="A33" t="s">
        <v>2215</v>
      </c>
      <c r="B33" t="s">
        <v>14</v>
      </c>
      <c r="C33" t="s">
        <v>2336</v>
      </c>
      <c r="D33" t="s">
        <v>2337</v>
      </c>
      <c r="E33" t="s">
        <v>2338</v>
      </c>
      <c r="F33" t="s">
        <v>2339</v>
      </c>
      <c r="G33" t="s">
        <v>18</v>
      </c>
      <c r="H33" t="s">
        <v>18</v>
      </c>
      <c r="I33" t="s">
        <v>723</v>
      </c>
    </row>
    <row r="34" spans="1:9" ht="11.25" customHeight="1">
      <c r="A34" t="s">
        <v>2215</v>
      </c>
      <c r="B34" t="s">
        <v>14</v>
      </c>
      <c r="C34" t="s">
        <v>2340</v>
      </c>
      <c r="D34" t="s">
        <v>2341</v>
      </c>
      <c r="E34" t="s">
        <v>2342</v>
      </c>
      <c r="F34" t="s">
        <v>2343</v>
      </c>
      <c r="G34" t="s">
        <v>18</v>
      </c>
      <c r="H34" t="s">
        <v>18</v>
      </c>
      <c r="I34" t="s">
        <v>723</v>
      </c>
    </row>
    <row r="35" spans="1:9" ht="11.25" customHeight="1">
      <c r="A35" t="s">
        <v>2215</v>
      </c>
      <c r="B35" t="s">
        <v>14</v>
      </c>
      <c r="C35" t="s">
        <v>2344</v>
      </c>
      <c r="D35" t="s">
        <v>2345</v>
      </c>
      <c r="E35" t="s">
        <v>2346</v>
      </c>
      <c r="F35" t="s">
        <v>2227</v>
      </c>
      <c r="G35" t="s">
        <v>18</v>
      </c>
      <c r="H35" t="s">
        <v>2347</v>
      </c>
      <c r="I35" t="s">
        <v>723</v>
      </c>
    </row>
    <row r="36" spans="1:9" ht="11.25" customHeight="1">
      <c r="A36" t="s">
        <v>2215</v>
      </c>
      <c r="B36" t="s">
        <v>14</v>
      </c>
      <c r="C36" t="s">
        <v>2348</v>
      </c>
      <c r="D36" t="s">
        <v>2349</v>
      </c>
      <c r="E36" t="s">
        <v>2350</v>
      </c>
      <c r="F36" t="s">
        <v>2296</v>
      </c>
      <c r="G36" t="s">
        <v>18</v>
      </c>
      <c r="H36" t="s">
        <v>2324</v>
      </c>
      <c r="I36" t="s">
        <v>723</v>
      </c>
    </row>
    <row r="37" spans="1:9" ht="11.25" customHeight="1">
      <c r="A37" t="s">
        <v>2215</v>
      </c>
      <c r="B37" t="s">
        <v>14</v>
      </c>
      <c r="C37" t="s">
        <v>2351</v>
      </c>
      <c r="D37" t="s">
        <v>2352</v>
      </c>
      <c r="E37" t="s">
        <v>2353</v>
      </c>
      <c r="F37" t="s">
        <v>2227</v>
      </c>
      <c r="G37" t="s">
        <v>18</v>
      </c>
      <c r="H37" t="s">
        <v>18</v>
      </c>
      <c r="I37" t="s">
        <v>723</v>
      </c>
    </row>
    <row r="38" spans="1:9" ht="11.25" customHeight="1">
      <c r="A38" t="s">
        <v>2215</v>
      </c>
      <c r="B38" t="s">
        <v>14</v>
      </c>
      <c r="C38" t="s">
        <v>2354</v>
      </c>
      <c r="D38" t="s">
        <v>2355</v>
      </c>
      <c r="E38" t="s">
        <v>2356</v>
      </c>
      <c r="F38" t="s">
        <v>46</v>
      </c>
      <c r="G38" t="s">
        <v>18</v>
      </c>
      <c r="H38" t="s">
        <v>18</v>
      </c>
      <c r="I38" t="s">
        <v>723</v>
      </c>
    </row>
    <row r="39" spans="1:9" ht="11.25" customHeight="1">
      <c r="A39" t="s">
        <v>2215</v>
      </c>
      <c r="B39" t="s">
        <v>14</v>
      </c>
      <c r="C39" t="s">
        <v>2357</v>
      </c>
      <c r="D39" t="s">
        <v>2358</v>
      </c>
      <c r="E39" t="s">
        <v>2359</v>
      </c>
      <c r="F39" t="s">
        <v>2227</v>
      </c>
      <c r="G39" t="s">
        <v>2360</v>
      </c>
      <c r="H39" t="s">
        <v>2361</v>
      </c>
      <c r="I39" t="s">
        <v>723</v>
      </c>
    </row>
    <row r="40" spans="1:9" ht="11.25" customHeight="1">
      <c r="A40" t="s">
        <v>2215</v>
      </c>
      <c r="B40" t="s">
        <v>14</v>
      </c>
      <c r="C40" t="s">
        <v>2362</v>
      </c>
      <c r="D40" t="s">
        <v>2363</v>
      </c>
      <c r="E40" t="s">
        <v>2364</v>
      </c>
      <c r="F40" t="s">
        <v>2227</v>
      </c>
      <c r="G40" t="s">
        <v>18</v>
      </c>
      <c r="H40" t="s">
        <v>18</v>
      </c>
      <c r="I40" t="s">
        <v>723</v>
      </c>
    </row>
    <row r="41" spans="1:9" ht="11.25" customHeight="1">
      <c r="A41" t="s">
        <v>2215</v>
      </c>
      <c r="B41" t="s">
        <v>14</v>
      </c>
      <c r="C41" t="s">
        <v>2365</v>
      </c>
      <c r="D41" t="s">
        <v>2366</v>
      </c>
      <c r="E41" t="s">
        <v>2367</v>
      </c>
      <c r="F41" t="s">
        <v>2231</v>
      </c>
      <c r="G41" t="s">
        <v>18</v>
      </c>
      <c r="H41" t="s">
        <v>18</v>
      </c>
      <c r="I41" t="s">
        <v>723</v>
      </c>
    </row>
    <row r="42" spans="1:9" ht="11.25" customHeight="1">
      <c r="A42" t="s">
        <v>2215</v>
      </c>
      <c r="B42" t="s">
        <v>14</v>
      </c>
      <c r="C42" t="s">
        <v>2368</v>
      </c>
      <c r="D42" t="s">
        <v>2369</v>
      </c>
      <c r="E42" t="s">
        <v>2370</v>
      </c>
      <c r="F42" t="s">
        <v>2227</v>
      </c>
      <c r="G42" t="s">
        <v>2371</v>
      </c>
      <c r="H42" t="s">
        <v>2372</v>
      </c>
      <c r="I42" t="s">
        <v>723</v>
      </c>
    </row>
    <row r="43" spans="1:9" ht="11.25" customHeight="1">
      <c r="A43" t="s">
        <v>2215</v>
      </c>
      <c r="B43" t="s">
        <v>14</v>
      </c>
      <c r="C43" t="s">
        <v>2373</v>
      </c>
      <c r="D43" t="s">
        <v>2374</v>
      </c>
      <c r="E43" t="s">
        <v>2375</v>
      </c>
      <c r="F43" t="s">
        <v>2296</v>
      </c>
      <c r="G43" t="s">
        <v>18</v>
      </c>
      <c r="H43" t="s">
        <v>18</v>
      </c>
      <c r="I43" t="s">
        <v>723</v>
      </c>
    </row>
    <row r="44" spans="1:9" ht="11.25" customHeight="1">
      <c r="A44" t="s">
        <v>2215</v>
      </c>
      <c r="B44" t="s">
        <v>14</v>
      </c>
      <c r="C44" t="s">
        <v>2376</v>
      </c>
      <c r="D44" t="s">
        <v>2377</v>
      </c>
      <c r="E44" t="s">
        <v>2378</v>
      </c>
      <c r="F44" t="s">
        <v>2262</v>
      </c>
      <c r="G44" t="s">
        <v>18</v>
      </c>
      <c r="H44" t="s">
        <v>2379</v>
      </c>
      <c r="I44" t="s">
        <v>723</v>
      </c>
    </row>
    <row r="45" spans="1:9" ht="11.25" customHeight="1">
      <c r="A45" t="s">
        <v>2215</v>
      </c>
      <c r="B45" t="s">
        <v>14</v>
      </c>
      <c r="C45" t="s">
        <v>2380</v>
      </c>
      <c r="D45" t="s">
        <v>2381</v>
      </c>
      <c r="E45" t="s">
        <v>2382</v>
      </c>
      <c r="F45" t="s">
        <v>2296</v>
      </c>
      <c r="G45" t="s">
        <v>2383</v>
      </c>
      <c r="H45" t="s">
        <v>18</v>
      </c>
      <c r="I45" t="s">
        <v>723</v>
      </c>
    </row>
    <row r="46" spans="1:9" ht="11.25" customHeight="1">
      <c r="A46" t="s">
        <v>2215</v>
      </c>
      <c r="B46" t="s">
        <v>14</v>
      </c>
      <c r="C46" t="s">
        <v>2384</v>
      </c>
      <c r="D46" t="s">
        <v>2385</v>
      </c>
      <c r="E46" t="s">
        <v>2386</v>
      </c>
      <c r="F46" t="s">
        <v>2387</v>
      </c>
      <c r="G46" t="s">
        <v>18</v>
      </c>
      <c r="H46" t="s">
        <v>18</v>
      </c>
      <c r="I46" t="s">
        <v>723</v>
      </c>
    </row>
    <row r="47" spans="1:9" ht="11.25" customHeight="1">
      <c r="A47" t="s">
        <v>2215</v>
      </c>
      <c r="B47" t="s">
        <v>14</v>
      </c>
      <c r="C47" t="s">
        <v>2388</v>
      </c>
      <c r="D47" t="s">
        <v>2389</v>
      </c>
      <c r="E47" t="s">
        <v>2390</v>
      </c>
      <c r="F47" t="s">
        <v>2227</v>
      </c>
      <c r="G47" t="s">
        <v>18</v>
      </c>
      <c r="H47" t="s">
        <v>2391</v>
      </c>
      <c r="I47" t="s">
        <v>723</v>
      </c>
    </row>
    <row r="48" spans="1:9" ht="11.25" customHeight="1">
      <c r="A48" t="s">
        <v>2215</v>
      </c>
      <c r="B48" t="s">
        <v>14</v>
      </c>
      <c r="C48" t="s">
        <v>2392</v>
      </c>
      <c r="D48" t="s">
        <v>2393</v>
      </c>
      <c r="E48" t="s">
        <v>2394</v>
      </c>
      <c r="F48" t="s">
        <v>2227</v>
      </c>
      <c r="G48" t="s">
        <v>18</v>
      </c>
      <c r="H48" t="s">
        <v>2395</v>
      </c>
      <c r="I48" t="s">
        <v>723</v>
      </c>
    </row>
    <row r="49" spans="1:9" ht="11.25" customHeight="1">
      <c r="A49" t="s">
        <v>2215</v>
      </c>
      <c r="B49" t="s">
        <v>14</v>
      </c>
      <c r="C49" t="s">
        <v>2396</v>
      </c>
      <c r="D49" t="s">
        <v>2397</v>
      </c>
      <c r="E49" t="s">
        <v>2398</v>
      </c>
      <c r="F49" t="s">
        <v>2308</v>
      </c>
      <c r="G49" t="s">
        <v>18</v>
      </c>
      <c r="H49" t="s">
        <v>18</v>
      </c>
      <c r="I49" t="s">
        <v>723</v>
      </c>
    </row>
    <row r="50" spans="1:9" ht="11.25" customHeight="1">
      <c r="A50" t="s">
        <v>2215</v>
      </c>
      <c r="B50" t="s">
        <v>14</v>
      </c>
      <c r="C50" t="s">
        <v>2399</v>
      </c>
      <c r="D50" t="s">
        <v>2400</v>
      </c>
      <c r="E50" t="s">
        <v>2401</v>
      </c>
      <c r="F50" t="s">
        <v>2227</v>
      </c>
      <c r="G50" t="s">
        <v>18</v>
      </c>
      <c r="H50" t="s">
        <v>18</v>
      </c>
      <c r="I50" t="s">
        <v>723</v>
      </c>
    </row>
    <row r="51" spans="1:9" ht="11.25" customHeight="1">
      <c r="A51" t="s">
        <v>2215</v>
      </c>
      <c r="B51" t="s">
        <v>14</v>
      </c>
      <c r="C51" t="s">
        <v>2402</v>
      </c>
      <c r="D51" t="s">
        <v>2403</v>
      </c>
      <c r="E51" t="s">
        <v>2404</v>
      </c>
      <c r="F51" t="s">
        <v>2296</v>
      </c>
      <c r="G51" t="s">
        <v>18</v>
      </c>
      <c r="H51" t="s">
        <v>2405</v>
      </c>
      <c r="I51" t="s">
        <v>723</v>
      </c>
    </row>
    <row r="52" spans="1:9" ht="11.25" customHeight="1">
      <c r="A52" t="s">
        <v>2215</v>
      </c>
      <c r="B52" t="s">
        <v>14</v>
      </c>
      <c r="C52" t="s">
        <v>2406</v>
      </c>
      <c r="D52" t="s">
        <v>2407</v>
      </c>
      <c r="E52" t="s">
        <v>2408</v>
      </c>
      <c r="F52" t="s">
        <v>46</v>
      </c>
      <c r="G52" t="s">
        <v>18</v>
      </c>
      <c r="H52" t="s">
        <v>18</v>
      </c>
      <c r="I52" t="s">
        <v>723</v>
      </c>
    </row>
    <row r="53" spans="1:9" ht="11.25" customHeight="1">
      <c r="A53" t="s">
        <v>2215</v>
      </c>
      <c r="B53" t="s">
        <v>14</v>
      </c>
      <c r="C53" t="s">
        <v>2409</v>
      </c>
      <c r="D53" t="s">
        <v>2410</v>
      </c>
      <c r="E53" t="s">
        <v>2411</v>
      </c>
      <c r="F53" t="s">
        <v>2412</v>
      </c>
      <c r="G53" t="s">
        <v>18</v>
      </c>
      <c r="H53" t="s">
        <v>18</v>
      </c>
      <c r="I53" t="s">
        <v>723</v>
      </c>
    </row>
    <row r="54" spans="1:9" ht="11.25" customHeight="1">
      <c r="A54" t="s">
        <v>2215</v>
      </c>
      <c r="B54" t="s">
        <v>14</v>
      </c>
      <c r="C54" t="s">
        <v>2413</v>
      </c>
      <c r="D54" t="s">
        <v>2414</v>
      </c>
      <c r="E54" t="s">
        <v>2415</v>
      </c>
      <c r="F54" t="s">
        <v>2308</v>
      </c>
      <c r="G54" t="s">
        <v>18</v>
      </c>
      <c r="H54" t="s">
        <v>2416</v>
      </c>
      <c r="I54" t="s">
        <v>723</v>
      </c>
    </row>
    <row r="55" spans="1:9" ht="11.25" customHeight="1">
      <c r="A55" t="s">
        <v>2215</v>
      </c>
      <c r="B55" t="s">
        <v>14</v>
      </c>
      <c r="C55" t="s">
        <v>2417</v>
      </c>
      <c r="D55" t="s">
        <v>2418</v>
      </c>
      <c r="E55" t="s">
        <v>2419</v>
      </c>
      <c r="F55" t="s">
        <v>2227</v>
      </c>
      <c r="G55" t="s">
        <v>2420</v>
      </c>
      <c r="H55" t="s">
        <v>18</v>
      </c>
      <c r="I55" t="s">
        <v>723</v>
      </c>
    </row>
    <row r="56" spans="1:9" ht="11.25" customHeight="1">
      <c r="A56" t="s">
        <v>2215</v>
      </c>
      <c r="B56" t="s">
        <v>14</v>
      </c>
      <c r="C56" t="s">
        <v>2421</v>
      </c>
      <c r="D56" t="s">
        <v>2422</v>
      </c>
      <c r="E56" t="s">
        <v>2423</v>
      </c>
      <c r="F56" t="s">
        <v>2296</v>
      </c>
      <c r="G56" t="s">
        <v>2424</v>
      </c>
      <c r="H56" t="s">
        <v>18</v>
      </c>
      <c r="I56" t="s">
        <v>723</v>
      </c>
    </row>
    <row r="57" spans="1:9" ht="11.25" customHeight="1">
      <c r="A57" t="s">
        <v>2215</v>
      </c>
      <c r="B57" t="s">
        <v>14</v>
      </c>
      <c r="C57" t="s">
        <v>2425</v>
      </c>
      <c r="D57" t="s">
        <v>2426</v>
      </c>
      <c r="E57" t="s">
        <v>2427</v>
      </c>
      <c r="F57" t="s">
        <v>2296</v>
      </c>
      <c r="G57" t="s">
        <v>18</v>
      </c>
      <c r="H57" t="s">
        <v>2428</v>
      </c>
      <c r="I57" t="s">
        <v>723</v>
      </c>
    </row>
    <row r="58" spans="1:9" ht="11.25" customHeight="1">
      <c r="A58" t="s">
        <v>2215</v>
      </c>
      <c r="B58" t="s">
        <v>14</v>
      </c>
      <c r="C58" t="s">
        <v>2429</v>
      </c>
      <c r="D58" t="s">
        <v>2430</v>
      </c>
      <c r="E58" t="s">
        <v>2431</v>
      </c>
      <c r="F58" t="s">
        <v>2296</v>
      </c>
      <c r="G58" t="s">
        <v>18</v>
      </c>
      <c r="H58" t="s">
        <v>2432</v>
      </c>
      <c r="I58" t="s">
        <v>723</v>
      </c>
    </row>
    <row r="59" spans="1:9" ht="11.25" customHeight="1">
      <c r="A59" t="s">
        <v>2215</v>
      </c>
      <c r="B59" t="s">
        <v>14</v>
      </c>
      <c r="C59" t="s">
        <v>2433</v>
      </c>
      <c r="D59" t="s">
        <v>2434</v>
      </c>
      <c r="E59" t="s">
        <v>2435</v>
      </c>
      <c r="F59" t="s">
        <v>2262</v>
      </c>
      <c r="G59" t="s">
        <v>18</v>
      </c>
      <c r="H59" t="s">
        <v>2436</v>
      </c>
      <c r="I59" t="s">
        <v>723</v>
      </c>
    </row>
    <row r="60" spans="1:9" ht="11.25" customHeight="1">
      <c r="A60" t="s">
        <v>2215</v>
      </c>
      <c r="B60" t="s">
        <v>14</v>
      </c>
      <c r="C60" t="s">
        <v>2437</v>
      </c>
      <c r="D60" t="s">
        <v>2438</v>
      </c>
      <c r="E60" t="s">
        <v>2439</v>
      </c>
      <c r="F60" t="s">
        <v>2387</v>
      </c>
      <c r="G60" t="s">
        <v>18</v>
      </c>
      <c r="H60" t="s">
        <v>2440</v>
      </c>
      <c r="I60" t="s">
        <v>723</v>
      </c>
    </row>
    <row r="61" spans="1:9" ht="11.25" customHeight="1">
      <c r="A61" t="s">
        <v>2215</v>
      </c>
      <c r="B61" t="s">
        <v>14</v>
      </c>
      <c r="C61" t="s">
        <v>2441</v>
      </c>
      <c r="D61" t="s">
        <v>2442</v>
      </c>
      <c r="E61" t="s">
        <v>2443</v>
      </c>
      <c r="F61" t="s">
        <v>2227</v>
      </c>
      <c r="G61" t="s">
        <v>18</v>
      </c>
      <c r="H61" t="s">
        <v>18</v>
      </c>
      <c r="I61" t="s">
        <v>723</v>
      </c>
    </row>
    <row r="62" spans="1:9" ht="11.25" customHeight="1">
      <c r="A62" t="s">
        <v>2215</v>
      </c>
      <c r="B62" t="s">
        <v>14</v>
      </c>
      <c r="C62" t="s">
        <v>2444</v>
      </c>
      <c r="D62" t="s">
        <v>2445</v>
      </c>
      <c r="E62" t="s">
        <v>2446</v>
      </c>
      <c r="F62" t="s">
        <v>2412</v>
      </c>
      <c r="G62" t="s">
        <v>2447</v>
      </c>
      <c r="H62" t="s">
        <v>2448</v>
      </c>
      <c r="I62" t="s">
        <v>723</v>
      </c>
    </row>
    <row r="63" spans="1:9" ht="11.25" customHeight="1">
      <c r="A63" t="s">
        <v>2215</v>
      </c>
      <c r="B63" t="s">
        <v>14</v>
      </c>
      <c r="C63" t="s">
        <v>2449</v>
      </c>
      <c r="D63" t="s">
        <v>2450</v>
      </c>
      <c r="E63" t="s">
        <v>2451</v>
      </c>
      <c r="F63" t="s">
        <v>2227</v>
      </c>
      <c r="G63" t="s">
        <v>18</v>
      </c>
      <c r="H63" t="s">
        <v>2452</v>
      </c>
      <c r="I63" t="s">
        <v>723</v>
      </c>
    </row>
    <row r="64" spans="1:9" ht="11.25" customHeight="1">
      <c r="A64" t="s">
        <v>2215</v>
      </c>
      <c r="B64" t="s">
        <v>14</v>
      </c>
      <c r="C64" t="s">
        <v>2453</v>
      </c>
      <c r="D64" t="s">
        <v>2454</v>
      </c>
      <c r="E64" t="s">
        <v>2455</v>
      </c>
      <c r="F64" t="s">
        <v>2456</v>
      </c>
      <c r="G64" t="s">
        <v>2457</v>
      </c>
      <c r="H64" t="s">
        <v>18</v>
      </c>
      <c r="I64" t="s">
        <v>723</v>
      </c>
    </row>
    <row r="65" spans="1:9" ht="11.25" customHeight="1">
      <c r="A65" t="s">
        <v>2215</v>
      </c>
      <c r="B65" t="s">
        <v>14</v>
      </c>
      <c r="C65" t="s">
        <v>2458</v>
      </c>
      <c r="D65" t="s">
        <v>2459</v>
      </c>
      <c r="E65" t="s">
        <v>2460</v>
      </c>
      <c r="F65" t="s">
        <v>2231</v>
      </c>
      <c r="G65" t="s">
        <v>18</v>
      </c>
      <c r="H65" t="s">
        <v>2461</v>
      </c>
      <c r="I65" t="s">
        <v>723</v>
      </c>
    </row>
    <row r="66" spans="1:9" ht="11.25" customHeight="1">
      <c r="A66" t="s">
        <v>2215</v>
      </c>
      <c r="B66" t="s">
        <v>14</v>
      </c>
      <c r="C66" t="s">
        <v>2462</v>
      </c>
      <c r="D66" t="s">
        <v>2463</v>
      </c>
      <c r="E66" t="s">
        <v>2464</v>
      </c>
      <c r="F66" t="s">
        <v>2465</v>
      </c>
      <c r="G66" t="s">
        <v>2466</v>
      </c>
      <c r="H66" t="s">
        <v>2467</v>
      </c>
      <c r="I66" t="s">
        <v>723</v>
      </c>
    </row>
    <row r="67" spans="1:9" ht="11.25" customHeight="1">
      <c r="A67" t="s">
        <v>2215</v>
      </c>
      <c r="B67" t="s">
        <v>14</v>
      </c>
      <c r="C67" t="s">
        <v>2468</v>
      </c>
      <c r="D67" t="s">
        <v>2469</v>
      </c>
      <c r="E67" t="s">
        <v>2464</v>
      </c>
      <c r="F67" t="s">
        <v>2470</v>
      </c>
      <c r="G67" t="s">
        <v>2467</v>
      </c>
      <c r="H67" t="s">
        <v>18</v>
      </c>
      <c r="I67" t="s">
        <v>723</v>
      </c>
    </row>
    <row r="68" spans="1:9" ht="11.25" customHeight="1">
      <c r="A68" t="s">
        <v>2215</v>
      </c>
      <c r="B68" t="s">
        <v>14</v>
      </c>
      <c r="C68" t="s">
        <v>2471</v>
      </c>
      <c r="D68" t="s">
        <v>2472</v>
      </c>
      <c r="E68" t="s">
        <v>2473</v>
      </c>
      <c r="F68" t="s">
        <v>2412</v>
      </c>
      <c r="G68" t="s">
        <v>2474</v>
      </c>
      <c r="H68" t="s">
        <v>2475</v>
      </c>
      <c r="I68" t="s">
        <v>723</v>
      </c>
    </row>
    <row r="69" spans="1:9" ht="11.25" customHeight="1">
      <c r="A69" t="s">
        <v>2215</v>
      </c>
      <c r="B69" t="s">
        <v>14</v>
      </c>
      <c r="C69" t="s">
        <v>2476</v>
      </c>
      <c r="D69" t="s">
        <v>2477</v>
      </c>
      <c r="E69" t="s">
        <v>2478</v>
      </c>
      <c r="F69" t="s">
        <v>2479</v>
      </c>
      <c r="G69" t="s">
        <v>18</v>
      </c>
      <c r="H69" t="s">
        <v>18</v>
      </c>
      <c r="I69" t="s">
        <v>723</v>
      </c>
    </row>
    <row r="70" spans="1:9" ht="11.25" customHeight="1">
      <c r="A70" t="s">
        <v>2215</v>
      </c>
      <c r="B70" t="s">
        <v>14</v>
      </c>
      <c r="C70" t="s">
        <v>2480</v>
      </c>
      <c r="D70" t="s">
        <v>2481</v>
      </c>
      <c r="E70" t="s">
        <v>2482</v>
      </c>
      <c r="F70" t="s">
        <v>2227</v>
      </c>
      <c r="G70" t="s">
        <v>18</v>
      </c>
      <c r="H70" t="s">
        <v>18</v>
      </c>
      <c r="I70" t="s">
        <v>723</v>
      </c>
    </row>
    <row r="71" spans="1:9" ht="11.25" customHeight="1">
      <c r="A71" t="s">
        <v>2215</v>
      </c>
      <c r="B71" t="s">
        <v>14</v>
      </c>
      <c r="C71" t="s">
        <v>2483</v>
      </c>
      <c r="D71" t="s">
        <v>2484</v>
      </c>
      <c r="E71" t="s">
        <v>2485</v>
      </c>
      <c r="F71" t="s">
        <v>2343</v>
      </c>
      <c r="G71" t="s">
        <v>18</v>
      </c>
      <c r="H71" t="s">
        <v>2486</v>
      </c>
      <c r="I71" t="s">
        <v>723</v>
      </c>
    </row>
    <row r="72" spans="1:9" ht="11.25" customHeight="1">
      <c r="A72" t="s">
        <v>2215</v>
      </c>
      <c r="B72" t="s">
        <v>14</v>
      </c>
      <c r="C72" t="s">
        <v>2487</v>
      </c>
      <c r="D72" t="s">
        <v>2488</v>
      </c>
      <c r="E72" t="s">
        <v>2489</v>
      </c>
      <c r="F72" t="s">
        <v>2227</v>
      </c>
      <c r="G72" t="s">
        <v>2490</v>
      </c>
      <c r="H72" t="s">
        <v>2491</v>
      </c>
      <c r="I72" t="s">
        <v>723</v>
      </c>
    </row>
    <row r="73" spans="1:9" ht="11.25" customHeight="1">
      <c r="A73" t="s">
        <v>2215</v>
      </c>
      <c r="B73" t="s">
        <v>14</v>
      </c>
      <c r="C73" t="s">
        <v>2492</v>
      </c>
      <c r="D73" t="s">
        <v>2493</v>
      </c>
      <c r="E73" t="s">
        <v>2494</v>
      </c>
      <c r="F73" t="s">
        <v>2296</v>
      </c>
      <c r="G73" t="s">
        <v>18</v>
      </c>
      <c r="H73" t="s">
        <v>2495</v>
      </c>
      <c r="I73" t="s">
        <v>723</v>
      </c>
    </row>
    <row r="74" spans="1:9" ht="11.25" customHeight="1">
      <c r="A74" t="s">
        <v>2215</v>
      </c>
      <c r="B74" t="s">
        <v>14</v>
      </c>
      <c r="C74" t="s">
        <v>2496</v>
      </c>
      <c r="D74" t="s">
        <v>2497</v>
      </c>
      <c r="E74" t="s">
        <v>2498</v>
      </c>
      <c r="F74" t="s">
        <v>2296</v>
      </c>
      <c r="G74" t="s">
        <v>18</v>
      </c>
      <c r="H74" t="s">
        <v>2499</v>
      </c>
      <c r="I74" t="s">
        <v>723</v>
      </c>
    </row>
    <row r="75" spans="1:9" ht="11.25" customHeight="1">
      <c r="A75" t="s">
        <v>2215</v>
      </c>
      <c r="B75" t="s">
        <v>14</v>
      </c>
      <c r="C75" t="s">
        <v>2500</v>
      </c>
      <c r="D75" t="s">
        <v>2501</v>
      </c>
      <c r="E75" t="s">
        <v>2502</v>
      </c>
      <c r="F75" t="s">
        <v>2503</v>
      </c>
      <c r="G75" t="s">
        <v>18</v>
      </c>
      <c r="H75" t="s">
        <v>2499</v>
      </c>
      <c r="I75" t="s">
        <v>723</v>
      </c>
    </row>
    <row r="76" spans="1:9" ht="11.25" customHeight="1">
      <c r="A76" t="s">
        <v>2215</v>
      </c>
      <c r="B76" t="s">
        <v>14</v>
      </c>
      <c r="C76" t="s">
        <v>2504</v>
      </c>
      <c r="D76" t="s">
        <v>2505</v>
      </c>
      <c r="E76" t="s">
        <v>2506</v>
      </c>
      <c r="F76" t="s">
        <v>2227</v>
      </c>
      <c r="G76" t="s">
        <v>18</v>
      </c>
      <c r="H76" t="s">
        <v>18</v>
      </c>
      <c r="I76" t="s">
        <v>723</v>
      </c>
    </row>
    <row r="77" spans="1:9" ht="11.25" customHeight="1">
      <c r="A77" t="s">
        <v>2215</v>
      </c>
      <c r="B77" t="s">
        <v>14</v>
      </c>
      <c r="C77" t="s">
        <v>2507</v>
      </c>
      <c r="D77" t="s">
        <v>2508</v>
      </c>
      <c r="E77" t="s">
        <v>2509</v>
      </c>
      <c r="F77" t="s">
        <v>2296</v>
      </c>
      <c r="G77" t="s">
        <v>18</v>
      </c>
      <c r="H77" t="s">
        <v>2428</v>
      </c>
      <c r="I77" t="s">
        <v>723</v>
      </c>
    </row>
    <row r="78" spans="1:9" ht="11.25" customHeight="1">
      <c r="A78" t="s">
        <v>2215</v>
      </c>
      <c r="B78" t="s">
        <v>14</v>
      </c>
      <c r="C78" t="s">
        <v>2510</v>
      </c>
      <c r="D78" t="s">
        <v>2511</v>
      </c>
      <c r="E78" t="s">
        <v>2512</v>
      </c>
      <c r="F78" t="s">
        <v>2231</v>
      </c>
      <c r="G78" t="s">
        <v>18</v>
      </c>
      <c r="H78" t="s">
        <v>2513</v>
      </c>
      <c r="I78" t="s">
        <v>723</v>
      </c>
    </row>
    <row r="79" spans="1:9" ht="11.25" customHeight="1">
      <c r="A79" t="s">
        <v>2215</v>
      </c>
      <c r="B79" t="s">
        <v>14</v>
      </c>
      <c r="C79" t="s">
        <v>2514</v>
      </c>
      <c r="D79" t="s">
        <v>2515</v>
      </c>
      <c r="E79" t="s">
        <v>2516</v>
      </c>
      <c r="F79" t="s">
        <v>2517</v>
      </c>
      <c r="G79" t="s">
        <v>2518</v>
      </c>
      <c r="H79" t="s">
        <v>18</v>
      </c>
      <c r="I79" t="s">
        <v>723</v>
      </c>
    </row>
    <row r="80" spans="1:9" ht="11.25" customHeight="1">
      <c r="A80" t="s">
        <v>2215</v>
      </c>
      <c r="B80" t="s">
        <v>14</v>
      </c>
      <c r="C80" t="s">
        <v>2519</v>
      </c>
      <c r="D80" t="s">
        <v>2520</v>
      </c>
      <c r="E80" t="s">
        <v>2521</v>
      </c>
      <c r="F80" t="s">
        <v>2296</v>
      </c>
      <c r="G80" t="s">
        <v>2522</v>
      </c>
      <c r="H80" t="s">
        <v>2523</v>
      </c>
      <c r="I80" t="s">
        <v>723</v>
      </c>
    </row>
    <row r="81" spans="1:9" ht="11.25" customHeight="1">
      <c r="A81" t="s">
        <v>2215</v>
      </c>
      <c r="B81" t="s">
        <v>14</v>
      </c>
      <c r="C81" t="s">
        <v>2524</v>
      </c>
      <c r="D81" t="s">
        <v>2525</v>
      </c>
      <c r="E81" t="s">
        <v>2526</v>
      </c>
      <c r="F81" t="s">
        <v>2231</v>
      </c>
      <c r="G81" t="s">
        <v>18</v>
      </c>
      <c r="H81" t="s">
        <v>2527</v>
      </c>
      <c r="I81" t="s">
        <v>723</v>
      </c>
    </row>
    <row r="82" spans="1:9" ht="11.25" customHeight="1">
      <c r="A82" t="s">
        <v>2215</v>
      </c>
      <c r="B82" t="s">
        <v>14</v>
      </c>
      <c r="C82" t="s">
        <v>2528</v>
      </c>
      <c r="D82" t="s">
        <v>2529</v>
      </c>
      <c r="E82" t="s">
        <v>2530</v>
      </c>
      <c r="F82" t="s">
        <v>2296</v>
      </c>
      <c r="G82" t="s">
        <v>18</v>
      </c>
      <c r="H82" t="s">
        <v>18</v>
      </c>
      <c r="I82" t="s">
        <v>723</v>
      </c>
    </row>
    <row r="83" spans="1:9" ht="11.25" customHeight="1">
      <c r="A83" t="s">
        <v>2215</v>
      </c>
      <c r="B83" t="s">
        <v>14</v>
      </c>
      <c r="C83" t="s">
        <v>2531</v>
      </c>
      <c r="D83" t="s">
        <v>2532</v>
      </c>
      <c r="E83" t="s">
        <v>2533</v>
      </c>
      <c r="F83" t="s">
        <v>2332</v>
      </c>
      <c r="G83" t="s">
        <v>18</v>
      </c>
      <c r="H83" t="s">
        <v>18</v>
      </c>
      <c r="I83" t="s">
        <v>723</v>
      </c>
    </row>
    <row r="84" spans="1:9" ht="11.25" customHeight="1">
      <c r="A84" t="s">
        <v>2215</v>
      </c>
      <c r="B84" t="s">
        <v>14</v>
      </c>
      <c r="C84" t="s">
        <v>2534</v>
      </c>
      <c r="D84" t="s">
        <v>2535</v>
      </c>
      <c r="E84" t="s">
        <v>2536</v>
      </c>
      <c r="F84" t="s">
        <v>2412</v>
      </c>
      <c r="G84" t="s">
        <v>18</v>
      </c>
      <c r="H84" t="s">
        <v>2537</v>
      </c>
      <c r="I84" t="s">
        <v>723</v>
      </c>
    </row>
    <row r="85" spans="1:9" ht="11.25" customHeight="1">
      <c r="A85" t="s">
        <v>2215</v>
      </c>
      <c r="B85" t="s">
        <v>14</v>
      </c>
      <c r="C85" t="s">
        <v>2538</v>
      </c>
      <c r="D85" t="s">
        <v>2539</v>
      </c>
      <c r="E85" t="s">
        <v>2540</v>
      </c>
      <c r="F85" t="s">
        <v>2296</v>
      </c>
      <c r="G85" t="s">
        <v>2541</v>
      </c>
      <c r="H85" t="s">
        <v>2542</v>
      </c>
      <c r="I85" t="s">
        <v>723</v>
      </c>
    </row>
    <row r="86" spans="1:9" ht="11.25" customHeight="1">
      <c r="A86" t="s">
        <v>2215</v>
      </c>
      <c r="B86" t="s">
        <v>14</v>
      </c>
      <c r="C86" t="s">
        <v>2543</v>
      </c>
      <c r="D86" t="s">
        <v>2544</v>
      </c>
      <c r="E86" t="s">
        <v>2545</v>
      </c>
      <c r="F86" t="s">
        <v>2343</v>
      </c>
      <c r="G86" t="s">
        <v>2546</v>
      </c>
      <c r="H86" t="s">
        <v>18</v>
      </c>
      <c r="I86" t="s">
        <v>723</v>
      </c>
    </row>
    <row r="87" spans="1:9" ht="11.25" customHeight="1">
      <c r="A87" t="s">
        <v>2215</v>
      </c>
      <c r="B87" t="s">
        <v>14</v>
      </c>
      <c r="C87" t="s">
        <v>2547</v>
      </c>
      <c r="D87" t="s">
        <v>2548</v>
      </c>
      <c r="E87" t="s">
        <v>2549</v>
      </c>
      <c r="F87" t="s">
        <v>2262</v>
      </c>
      <c r="G87" t="s">
        <v>18</v>
      </c>
      <c r="H87" t="s">
        <v>2475</v>
      </c>
      <c r="I87" t="s">
        <v>723</v>
      </c>
    </row>
    <row r="88" spans="1:9" ht="11.25" customHeight="1">
      <c r="A88" t="s">
        <v>2215</v>
      </c>
      <c r="B88" t="s">
        <v>14</v>
      </c>
      <c r="C88" t="s">
        <v>2550</v>
      </c>
      <c r="D88" t="s">
        <v>2551</v>
      </c>
      <c r="E88" t="s">
        <v>2552</v>
      </c>
      <c r="F88" t="s">
        <v>2517</v>
      </c>
      <c r="G88" t="s">
        <v>18</v>
      </c>
      <c r="H88" t="s">
        <v>18</v>
      </c>
      <c r="I88" t="s">
        <v>723</v>
      </c>
    </row>
    <row r="89" spans="1:9" ht="11.25" customHeight="1">
      <c r="A89" t="s">
        <v>2215</v>
      </c>
      <c r="B89" t="s">
        <v>14</v>
      </c>
      <c r="C89" t="s">
        <v>2553</v>
      </c>
      <c r="D89" t="s">
        <v>2554</v>
      </c>
      <c r="E89" t="s">
        <v>2555</v>
      </c>
      <c r="F89" t="s">
        <v>2556</v>
      </c>
      <c r="G89" t="s">
        <v>2557</v>
      </c>
      <c r="H89" t="s">
        <v>18</v>
      </c>
      <c r="I89" t="s">
        <v>723</v>
      </c>
    </row>
    <row r="90" spans="1:9" ht="11.25" customHeight="1">
      <c r="A90" t="s">
        <v>2215</v>
      </c>
      <c r="B90" t="s">
        <v>14</v>
      </c>
      <c r="C90" t="s">
        <v>2558</v>
      </c>
      <c r="D90" t="s">
        <v>2559</v>
      </c>
      <c r="E90" t="s">
        <v>2560</v>
      </c>
      <c r="F90" t="s">
        <v>2332</v>
      </c>
      <c r="G90" t="s">
        <v>18</v>
      </c>
      <c r="H90" t="s">
        <v>2561</v>
      </c>
      <c r="I90" t="s">
        <v>723</v>
      </c>
    </row>
    <row r="91" spans="1:9" ht="11.25" customHeight="1">
      <c r="A91" t="s">
        <v>2215</v>
      </c>
      <c r="B91" t="s">
        <v>14</v>
      </c>
      <c r="C91" t="s">
        <v>2562</v>
      </c>
      <c r="D91" t="s">
        <v>2563</v>
      </c>
      <c r="E91" t="s">
        <v>2564</v>
      </c>
      <c r="F91" t="s">
        <v>2565</v>
      </c>
      <c r="G91" t="s">
        <v>18</v>
      </c>
      <c r="H91" t="s">
        <v>18</v>
      </c>
      <c r="I91" t="s">
        <v>723</v>
      </c>
    </row>
    <row r="92" spans="1:9" ht="11.25" customHeight="1">
      <c r="A92" t="s">
        <v>2215</v>
      </c>
      <c r="B92" t="s">
        <v>14</v>
      </c>
      <c r="C92" t="s">
        <v>2566</v>
      </c>
      <c r="D92" t="s">
        <v>2567</v>
      </c>
      <c r="E92" t="s">
        <v>2568</v>
      </c>
      <c r="F92" t="s">
        <v>2227</v>
      </c>
      <c r="G92" t="s">
        <v>18</v>
      </c>
      <c r="H92" t="s">
        <v>2499</v>
      </c>
      <c r="I92" t="s">
        <v>723</v>
      </c>
    </row>
    <row r="93" spans="1:9" ht="11.25" customHeight="1">
      <c r="A93" t="s">
        <v>2215</v>
      </c>
      <c r="B93" t="s">
        <v>14</v>
      </c>
      <c r="C93" t="s">
        <v>2569</v>
      </c>
      <c r="D93" t="s">
        <v>2570</v>
      </c>
      <c r="E93" t="s">
        <v>2571</v>
      </c>
      <c r="F93" t="s">
        <v>2296</v>
      </c>
      <c r="G93" t="s">
        <v>2572</v>
      </c>
      <c r="H93" t="s">
        <v>2573</v>
      </c>
      <c r="I93" t="s">
        <v>723</v>
      </c>
    </row>
    <row r="94" spans="1:9" ht="11.25" customHeight="1">
      <c r="A94" t="s">
        <v>2215</v>
      </c>
      <c r="B94" t="s">
        <v>14</v>
      </c>
      <c r="C94" t="s">
        <v>2574</v>
      </c>
      <c r="D94" t="s">
        <v>2575</v>
      </c>
      <c r="E94" t="s">
        <v>2576</v>
      </c>
      <c r="F94" t="s">
        <v>2227</v>
      </c>
      <c r="G94" t="s">
        <v>18</v>
      </c>
      <c r="H94" t="s">
        <v>2577</v>
      </c>
      <c r="I94" t="s">
        <v>723</v>
      </c>
    </row>
    <row r="95" spans="1:9" ht="11.25" customHeight="1">
      <c r="A95" t="s">
        <v>2215</v>
      </c>
      <c r="B95" t="s">
        <v>14</v>
      </c>
      <c r="C95" t="s">
        <v>2578</v>
      </c>
      <c r="D95" t="s">
        <v>2579</v>
      </c>
      <c r="E95" t="s">
        <v>2580</v>
      </c>
      <c r="F95" t="s">
        <v>2244</v>
      </c>
      <c r="G95" t="s">
        <v>18</v>
      </c>
      <c r="H95" t="s">
        <v>2581</v>
      </c>
      <c r="I95" t="s">
        <v>723</v>
      </c>
    </row>
    <row r="96" spans="1:9" ht="11.25" customHeight="1">
      <c r="A96" t="s">
        <v>2215</v>
      </c>
      <c r="B96" t="s">
        <v>14</v>
      </c>
      <c r="C96" t="s">
        <v>2582</v>
      </c>
      <c r="D96" t="s">
        <v>2583</v>
      </c>
      <c r="E96" t="s">
        <v>2584</v>
      </c>
      <c r="F96" t="s">
        <v>2262</v>
      </c>
      <c r="G96" t="s">
        <v>18</v>
      </c>
      <c r="H96" t="s">
        <v>18</v>
      </c>
      <c r="I96" t="s">
        <v>723</v>
      </c>
    </row>
    <row r="97" spans="1:9" ht="11.25" customHeight="1">
      <c r="A97" t="s">
        <v>2215</v>
      </c>
      <c r="B97" t="s">
        <v>14</v>
      </c>
      <c r="C97" t="s">
        <v>2585</v>
      </c>
      <c r="D97" t="s">
        <v>2586</v>
      </c>
      <c r="E97" t="s">
        <v>2587</v>
      </c>
      <c r="F97" t="s">
        <v>2231</v>
      </c>
      <c r="G97" t="s">
        <v>18</v>
      </c>
      <c r="H97" t="s">
        <v>18</v>
      </c>
      <c r="I97" t="s">
        <v>723</v>
      </c>
    </row>
    <row r="98" spans="1:9" ht="11.25" customHeight="1">
      <c r="A98" t="s">
        <v>2215</v>
      </c>
      <c r="B98" t="s">
        <v>14</v>
      </c>
      <c r="C98" t="s">
        <v>2588</v>
      </c>
      <c r="D98" t="s">
        <v>2589</v>
      </c>
      <c r="E98" t="s">
        <v>2590</v>
      </c>
      <c r="F98" t="s">
        <v>2227</v>
      </c>
      <c r="G98" t="s">
        <v>2591</v>
      </c>
      <c r="H98" t="s">
        <v>2592</v>
      </c>
      <c r="I98" t="s">
        <v>723</v>
      </c>
    </row>
    <row r="99" spans="1:9" ht="11.25" customHeight="1">
      <c r="A99" t="s">
        <v>2215</v>
      </c>
      <c r="B99" t="s">
        <v>14</v>
      </c>
      <c r="C99" t="s">
        <v>2593</v>
      </c>
      <c r="D99" t="s">
        <v>2594</v>
      </c>
      <c r="E99" t="s">
        <v>2595</v>
      </c>
      <c r="F99" t="s">
        <v>2596</v>
      </c>
      <c r="G99" t="s">
        <v>2597</v>
      </c>
      <c r="H99" t="s">
        <v>18</v>
      </c>
      <c r="I99" t="s">
        <v>723</v>
      </c>
    </row>
    <row r="100" spans="1:9" ht="11.25" customHeight="1">
      <c r="A100" t="s">
        <v>2215</v>
      </c>
      <c r="B100" t="s">
        <v>14</v>
      </c>
      <c r="C100" t="s">
        <v>2598</v>
      </c>
      <c r="D100" t="s">
        <v>2599</v>
      </c>
      <c r="E100" t="s">
        <v>2464</v>
      </c>
      <c r="F100" t="s">
        <v>2600</v>
      </c>
      <c r="G100" t="s">
        <v>18</v>
      </c>
      <c r="H100" t="s">
        <v>18</v>
      </c>
      <c r="I100" t="s">
        <v>723</v>
      </c>
    </row>
    <row r="101" spans="1:9" ht="11.25" customHeight="1">
      <c r="A101" t="s">
        <v>2215</v>
      </c>
      <c r="B101" t="s">
        <v>14</v>
      </c>
      <c r="C101" t="s">
        <v>2601</v>
      </c>
      <c r="D101" t="s">
        <v>2602</v>
      </c>
      <c r="E101" t="s">
        <v>2603</v>
      </c>
      <c r="F101" t="s">
        <v>2231</v>
      </c>
      <c r="G101" t="s">
        <v>18</v>
      </c>
      <c r="H101" t="s">
        <v>18</v>
      </c>
      <c r="I101" t="s">
        <v>723</v>
      </c>
    </row>
    <row r="102" spans="1:9" ht="11.25" customHeight="1">
      <c r="A102" t="s">
        <v>2215</v>
      </c>
      <c r="B102" t="s">
        <v>14</v>
      </c>
      <c r="C102" t="s">
        <v>2604</v>
      </c>
      <c r="D102" t="s">
        <v>2605</v>
      </c>
      <c r="E102" t="s">
        <v>2606</v>
      </c>
      <c r="F102" t="s">
        <v>2607</v>
      </c>
      <c r="G102" t="s">
        <v>18</v>
      </c>
      <c r="H102" t="s">
        <v>2608</v>
      </c>
      <c r="I102" t="s">
        <v>723</v>
      </c>
    </row>
    <row r="103" spans="1:9" ht="11.25" customHeight="1">
      <c r="A103" t="s">
        <v>2215</v>
      </c>
      <c r="B103" t="s">
        <v>14</v>
      </c>
      <c r="C103" t="s">
        <v>2609</v>
      </c>
      <c r="D103" t="s">
        <v>2610</v>
      </c>
      <c r="E103" t="s">
        <v>2595</v>
      </c>
      <c r="F103" t="s">
        <v>2611</v>
      </c>
      <c r="G103" t="s">
        <v>2612</v>
      </c>
      <c r="H103" t="s">
        <v>18</v>
      </c>
      <c r="I103" t="s">
        <v>723</v>
      </c>
    </row>
    <row r="104" spans="1:9" ht="11.25" customHeight="1">
      <c r="A104" t="s">
        <v>2215</v>
      </c>
      <c r="B104" t="s">
        <v>14</v>
      </c>
      <c r="C104" t="s">
        <v>2613</v>
      </c>
      <c r="D104" t="s">
        <v>2614</v>
      </c>
      <c r="E104" t="s">
        <v>2615</v>
      </c>
      <c r="F104" t="s">
        <v>2227</v>
      </c>
      <c r="G104" t="s">
        <v>2616</v>
      </c>
      <c r="H104" t="s">
        <v>2617</v>
      </c>
      <c r="I104" t="s">
        <v>723</v>
      </c>
    </row>
    <row r="105" spans="1:9" ht="11.25" customHeight="1">
      <c r="A105" t="s">
        <v>2215</v>
      </c>
      <c r="B105" t="s">
        <v>14</v>
      </c>
      <c r="C105" t="s">
        <v>2618</v>
      </c>
      <c r="D105" t="s">
        <v>2619</v>
      </c>
      <c r="E105" t="s">
        <v>2620</v>
      </c>
      <c r="F105" t="s">
        <v>2621</v>
      </c>
      <c r="G105" t="s">
        <v>18</v>
      </c>
      <c r="H105" t="s">
        <v>18</v>
      </c>
      <c r="I105" t="s">
        <v>723</v>
      </c>
    </row>
    <row r="106" spans="1:9" ht="11.25" customHeight="1">
      <c r="A106" t="s">
        <v>2215</v>
      </c>
      <c r="B106" t="s">
        <v>14</v>
      </c>
      <c r="C106" t="s">
        <v>2622</v>
      </c>
      <c r="D106" t="s">
        <v>2623</v>
      </c>
      <c r="E106" t="s">
        <v>2624</v>
      </c>
      <c r="F106" t="s">
        <v>2625</v>
      </c>
      <c r="G106" t="s">
        <v>18</v>
      </c>
      <c r="H106" t="s">
        <v>2626</v>
      </c>
      <c r="I106" t="s">
        <v>723</v>
      </c>
    </row>
    <row r="107" spans="1:9" ht="11.25" customHeight="1">
      <c r="A107" t="s">
        <v>2215</v>
      </c>
      <c r="B107" t="s">
        <v>14</v>
      </c>
      <c r="C107" t="s">
        <v>2627</v>
      </c>
      <c r="D107" t="s">
        <v>2628</v>
      </c>
      <c r="E107" t="s">
        <v>2629</v>
      </c>
      <c r="F107" t="s">
        <v>2630</v>
      </c>
      <c r="G107" t="s">
        <v>2631</v>
      </c>
      <c r="H107" t="s">
        <v>18</v>
      </c>
      <c r="I107" t="s">
        <v>723</v>
      </c>
    </row>
    <row r="108" spans="1:9" ht="11.25" customHeight="1">
      <c r="A108" t="s">
        <v>2215</v>
      </c>
      <c r="B108" t="s">
        <v>14</v>
      </c>
      <c r="C108" t="s">
        <v>2632</v>
      </c>
      <c r="D108" t="s">
        <v>2633</v>
      </c>
      <c r="E108" t="s">
        <v>2634</v>
      </c>
      <c r="F108" t="s">
        <v>2630</v>
      </c>
      <c r="G108" t="s">
        <v>18</v>
      </c>
      <c r="H108" t="s">
        <v>18</v>
      </c>
      <c r="I108" t="s">
        <v>723</v>
      </c>
    </row>
    <row r="109" spans="1:9" ht="11.25" customHeight="1">
      <c r="A109" t="s">
        <v>2215</v>
      </c>
      <c r="B109" t="s">
        <v>14</v>
      </c>
      <c r="C109" t="s">
        <v>2635</v>
      </c>
      <c r="D109" t="s">
        <v>2636</v>
      </c>
      <c r="E109" t="s">
        <v>2637</v>
      </c>
      <c r="F109" t="s">
        <v>2227</v>
      </c>
      <c r="G109" t="s">
        <v>18</v>
      </c>
      <c r="H109" t="s">
        <v>18</v>
      </c>
      <c r="I109" t="s">
        <v>723</v>
      </c>
    </row>
    <row r="110" spans="1:9" ht="11.25" customHeight="1">
      <c r="A110" t="s">
        <v>2215</v>
      </c>
      <c r="B110" t="s">
        <v>14</v>
      </c>
      <c r="C110" t="s">
        <v>2638</v>
      </c>
      <c r="D110" t="s">
        <v>2639</v>
      </c>
      <c r="E110" t="s">
        <v>2640</v>
      </c>
      <c r="F110" t="s">
        <v>2479</v>
      </c>
      <c r="G110" t="s">
        <v>18</v>
      </c>
      <c r="H110" t="s">
        <v>18</v>
      </c>
      <c r="I110" t="s">
        <v>723</v>
      </c>
    </row>
    <row r="111" spans="1:9" ht="11.25" customHeight="1">
      <c r="A111" t="s">
        <v>2215</v>
      </c>
      <c r="B111" t="s">
        <v>14</v>
      </c>
      <c r="C111" t="s">
        <v>2641</v>
      </c>
      <c r="D111" t="s">
        <v>2642</v>
      </c>
      <c r="E111" t="s">
        <v>2266</v>
      </c>
      <c r="F111" t="s">
        <v>2643</v>
      </c>
      <c r="G111" t="s">
        <v>2644</v>
      </c>
      <c r="H111" t="s">
        <v>2645</v>
      </c>
      <c r="I111" t="s">
        <v>723</v>
      </c>
    </row>
    <row r="112" spans="1:9" ht="11.25" customHeight="1">
      <c r="A112" t="s">
        <v>2215</v>
      </c>
      <c r="B112" t="s">
        <v>14</v>
      </c>
      <c r="C112" t="s">
        <v>2216</v>
      </c>
      <c r="D112" t="s">
        <v>2217</v>
      </c>
      <c r="E112" t="s">
        <v>2218</v>
      </c>
      <c r="F112" t="s">
        <v>2219</v>
      </c>
      <c r="G112" t="s">
        <v>2220</v>
      </c>
      <c r="H112" t="s">
        <v>18</v>
      </c>
      <c r="I112" t="s">
        <v>812</v>
      </c>
    </row>
    <row r="113" spans="1:9" ht="11.25" customHeight="1">
      <c r="A113" t="s">
        <v>2215</v>
      </c>
      <c r="B113" t="s">
        <v>14</v>
      </c>
      <c r="C113" t="s">
        <v>2221</v>
      </c>
      <c r="D113" t="s">
        <v>2217</v>
      </c>
      <c r="E113" t="s">
        <v>2218</v>
      </c>
      <c r="F113" t="s">
        <v>2222</v>
      </c>
      <c r="G113" t="s">
        <v>2223</v>
      </c>
      <c r="H113" t="s">
        <v>18</v>
      </c>
      <c r="I113" t="s">
        <v>812</v>
      </c>
    </row>
    <row r="114" spans="1:9" ht="11.25" customHeight="1">
      <c r="A114" t="s">
        <v>2215</v>
      </c>
      <c r="B114" t="s">
        <v>14</v>
      </c>
      <c r="C114" t="s">
        <v>2233</v>
      </c>
      <c r="D114" t="s">
        <v>2234</v>
      </c>
      <c r="E114" t="s">
        <v>2235</v>
      </c>
      <c r="F114" t="s">
        <v>2236</v>
      </c>
      <c r="G114" t="s">
        <v>18</v>
      </c>
      <c r="H114" t="s">
        <v>18</v>
      </c>
      <c r="I114" t="s">
        <v>812</v>
      </c>
    </row>
    <row r="115" spans="1:9" ht="11.25" customHeight="1">
      <c r="A115" t="s">
        <v>2215</v>
      </c>
      <c r="B115" t="s">
        <v>14</v>
      </c>
      <c r="C115" t="s">
        <v>2237</v>
      </c>
      <c r="D115" t="s">
        <v>2238</v>
      </c>
      <c r="E115" t="s">
        <v>2239</v>
      </c>
      <c r="F115" t="s">
        <v>2236</v>
      </c>
      <c r="G115" t="s">
        <v>2240</v>
      </c>
      <c r="H115" t="s">
        <v>18</v>
      </c>
      <c r="I115" t="s">
        <v>812</v>
      </c>
    </row>
    <row r="116" spans="1:9" ht="11.25" customHeight="1">
      <c r="A116" t="s">
        <v>2215</v>
      </c>
      <c r="B116" t="s">
        <v>14</v>
      </c>
      <c r="C116" t="s">
        <v>2241</v>
      </c>
      <c r="D116" t="s">
        <v>2242</v>
      </c>
      <c r="E116" t="s">
        <v>2243</v>
      </c>
      <c r="F116" t="s">
        <v>2244</v>
      </c>
      <c r="G116" t="s">
        <v>18</v>
      </c>
      <c r="H116" t="s">
        <v>18</v>
      </c>
      <c r="I116" t="s">
        <v>812</v>
      </c>
    </row>
    <row r="117" spans="1:9" ht="11.25" customHeight="1">
      <c r="A117" t="s">
        <v>2215</v>
      </c>
      <c r="B117" t="s">
        <v>14</v>
      </c>
      <c r="C117" t="s">
        <v>2245</v>
      </c>
      <c r="D117" t="s">
        <v>2246</v>
      </c>
      <c r="E117" t="s">
        <v>2247</v>
      </c>
      <c r="F117" t="s">
        <v>2231</v>
      </c>
      <c r="G117" t="s">
        <v>18</v>
      </c>
      <c r="H117" t="s">
        <v>18</v>
      </c>
      <c r="I117" t="s">
        <v>812</v>
      </c>
    </row>
    <row r="118" spans="1:9" ht="11.25" customHeight="1">
      <c r="A118" t="s">
        <v>2215</v>
      </c>
      <c r="B118" t="s">
        <v>14</v>
      </c>
      <c r="C118" t="s">
        <v>2252</v>
      </c>
      <c r="D118" t="s">
        <v>2253</v>
      </c>
      <c r="E118" t="s">
        <v>2254</v>
      </c>
      <c r="F118" t="s">
        <v>2231</v>
      </c>
      <c r="G118" t="s">
        <v>18</v>
      </c>
      <c r="H118" t="s">
        <v>18</v>
      </c>
      <c r="I118" t="s">
        <v>812</v>
      </c>
    </row>
    <row r="119" spans="1:9" ht="11.25" customHeight="1">
      <c r="A119" t="s">
        <v>2215</v>
      </c>
      <c r="B119" t="s">
        <v>14</v>
      </c>
      <c r="C119" t="s">
        <v>2259</v>
      </c>
      <c r="D119" t="s">
        <v>2260</v>
      </c>
      <c r="E119" t="s">
        <v>2261</v>
      </c>
      <c r="F119" t="s">
        <v>2262</v>
      </c>
      <c r="G119" t="s">
        <v>2263</v>
      </c>
      <c r="H119" t="s">
        <v>18</v>
      </c>
      <c r="I119" t="s">
        <v>812</v>
      </c>
    </row>
    <row r="120" spans="1:9" ht="11.25" customHeight="1">
      <c r="A120" t="s">
        <v>2215</v>
      </c>
      <c r="B120" t="s">
        <v>14</v>
      </c>
      <c r="C120" t="s">
        <v>2264</v>
      </c>
      <c r="D120" t="s">
        <v>2265</v>
      </c>
      <c r="E120" t="s">
        <v>2266</v>
      </c>
      <c r="F120" t="s">
        <v>2267</v>
      </c>
      <c r="G120" t="s">
        <v>18</v>
      </c>
      <c r="H120" t="s">
        <v>18</v>
      </c>
      <c r="I120" t="s">
        <v>812</v>
      </c>
    </row>
    <row r="121" spans="1:9" ht="11.25" customHeight="1">
      <c r="A121" t="s">
        <v>2215</v>
      </c>
      <c r="B121" t="s">
        <v>14</v>
      </c>
      <c r="C121" t="s">
        <v>2274</v>
      </c>
      <c r="D121" t="s">
        <v>2275</v>
      </c>
      <c r="E121" t="s">
        <v>2276</v>
      </c>
      <c r="F121" t="s">
        <v>2231</v>
      </c>
      <c r="G121" t="s">
        <v>2277</v>
      </c>
      <c r="H121" t="s">
        <v>18</v>
      </c>
      <c r="I121" t="s">
        <v>812</v>
      </c>
    </row>
    <row r="122" spans="1:9" ht="11.25" customHeight="1">
      <c r="A122" t="s">
        <v>2215</v>
      </c>
      <c r="B122" t="s">
        <v>14</v>
      </c>
      <c r="C122" t="s">
        <v>2285</v>
      </c>
      <c r="D122" t="s">
        <v>2286</v>
      </c>
      <c r="E122" t="s">
        <v>2287</v>
      </c>
      <c r="F122" t="s">
        <v>2231</v>
      </c>
      <c r="G122" t="s">
        <v>2288</v>
      </c>
      <c r="H122" t="s">
        <v>18</v>
      </c>
      <c r="I122" t="s">
        <v>812</v>
      </c>
    </row>
    <row r="123" spans="1:9" ht="11.25" customHeight="1">
      <c r="A123" t="s">
        <v>2215</v>
      </c>
      <c r="B123" t="s">
        <v>14</v>
      </c>
      <c r="C123" t="s">
        <v>18</v>
      </c>
      <c r="D123" t="s">
        <v>2299</v>
      </c>
      <c r="E123" t="s">
        <v>2300</v>
      </c>
      <c r="F123" t="s">
        <v>2231</v>
      </c>
      <c r="G123" t="s">
        <v>18</v>
      </c>
      <c r="H123" t="s">
        <v>18</v>
      </c>
      <c r="I123" t="s">
        <v>812</v>
      </c>
    </row>
    <row r="124" spans="1:9" ht="11.25" customHeight="1">
      <c r="A124" t="s">
        <v>2215</v>
      </c>
      <c r="B124" t="s">
        <v>14</v>
      </c>
      <c r="C124" t="s">
        <v>2301</v>
      </c>
      <c r="D124" t="s">
        <v>2302</v>
      </c>
      <c r="E124" t="s">
        <v>2303</v>
      </c>
      <c r="F124" t="s">
        <v>2227</v>
      </c>
      <c r="G124" t="s">
        <v>18</v>
      </c>
      <c r="H124" t="s">
        <v>2304</v>
      </c>
      <c r="I124" t="s">
        <v>812</v>
      </c>
    </row>
    <row r="125" spans="1:9" ht="11.25" customHeight="1">
      <c r="A125" t="s">
        <v>2215</v>
      </c>
      <c r="B125" t="s">
        <v>14</v>
      </c>
      <c r="C125" t="s">
        <v>2305</v>
      </c>
      <c r="D125" t="s">
        <v>2306</v>
      </c>
      <c r="E125" t="s">
        <v>2307</v>
      </c>
      <c r="F125" t="s">
        <v>2308</v>
      </c>
      <c r="G125" t="s">
        <v>18</v>
      </c>
      <c r="H125" t="s">
        <v>18</v>
      </c>
      <c r="I125" t="s">
        <v>812</v>
      </c>
    </row>
    <row r="126" spans="1:9" ht="11.25" customHeight="1">
      <c r="A126" t="s">
        <v>2215</v>
      </c>
      <c r="B126" t="s">
        <v>14</v>
      </c>
      <c r="C126" t="s">
        <v>2646</v>
      </c>
      <c r="D126" t="s">
        <v>2647</v>
      </c>
      <c r="E126" t="s">
        <v>2648</v>
      </c>
      <c r="F126" t="s">
        <v>2227</v>
      </c>
      <c r="G126" t="s">
        <v>2649</v>
      </c>
      <c r="H126" t="s">
        <v>2650</v>
      </c>
      <c r="I126" t="s">
        <v>812</v>
      </c>
    </row>
    <row r="127" spans="1:9" ht="11.25" customHeight="1">
      <c r="A127" t="s">
        <v>2215</v>
      </c>
      <c r="B127" t="s">
        <v>14</v>
      </c>
      <c r="C127" t="s">
        <v>2329</v>
      </c>
      <c r="D127" t="s">
        <v>2330</v>
      </c>
      <c r="E127" t="s">
        <v>2331</v>
      </c>
      <c r="F127" t="s">
        <v>2332</v>
      </c>
      <c r="G127" t="s">
        <v>18</v>
      </c>
      <c r="H127" t="s">
        <v>18</v>
      </c>
      <c r="I127" t="s">
        <v>812</v>
      </c>
    </row>
    <row r="128" spans="1:9" ht="11.25" customHeight="1">
      <c r="A128" t="s">
        <v>2215</v>
      </c>
      <c r="B128" t="s">
        <v>14</v>
      </c>
      <c r="C128" t="s">
        <v>2336</v>
      </c>
      <c r="D128" t="s">
        <v>2337</v>
      </c>
      <c r="E128" t="s">
        <v>2338</v>
      </c>
      <c r="F128" t="s">
        <v>2339</v>
      </c>
      <c r="G128" t="s">
        <v>18</v>
      </c>
      <c r="H128" t="s">
        <v>18</v>
      </c>
      <c r="I128" t="s">
        <v>812</v>
      </c>
    </row>
    <row r="129" spans="1:9" ht="11.25" customHeight="1">
      <c r="A129" t="s">
        <v>2215</v>
      </c>
      <c r="B129" t="s">
        <v>14</v>
      </c>
      <c r="C129" t="s">
        <v>2340</v>
      </c>
      <c r="D129" t="s">
        <v>2341</v>
      </c>
      <c r="E129" t="s">
        <v>2342</v>
      </c>
      <c r="F129" t="s">
        <v>2343</v>
      </c>
      <c r="G129" t="s">
        <v>18</v>
      </c>
      <c r="H129" t="s">
        <v>18</v>
      </c>
      <c r="I129" t="s">
        <v>812</v>
      </c>
    </row>
    <row r="130" spans="1:9" ht="11.25" customHeight="1">
      <c r="A130" t="s">
        <v>2215</v>
      </c>
      <c r="B130" t="s">
        <v>14</v>
      </c>
      <c r="C130" t="s">
        <v>2351</v>
      </c>
      <c r="D130" t="s">
        <v>2352</v>
      </c>
      <c r="E130" t="s">
        <v>2353</v>
      </c>
      <c r="F130" t="s">
        <v>2227</v>
      </c>
      <c r="G130" t="s">
        <v>18</v>
      </c>
      <c r="H130" t="s">
        <v>18</v>
      </c>
      <c r="I130" t="s">
        <v>812</v>
      </c>
    </row>
    <row r="131" spans="1:9" ht="11.25" customHeight="1">
      <c r="A131" t="s">
        <v>2215</v>
      </c>
      <c r="B131" t="s">
        <v>14</v>
      </c>
      <c r="C131" t="s">
        <v>2354</v>
      </c>
      <c r="D131" t="s">
        <v>2355</v>
      </c>
      <c r="E131" t="s">
        <v>2356</v>
      </c>
      <c r="F131" t="s">
        <v>46</v>
      </c>
      <c r="G131" t="s">
        <v>18</v>
      </c>
      <c r="H131" t="s">
        <v>18</v>
      </c>
      <c r="I131" t="s">
        <v>812</v>
      </c>
    </row>
    <row r="132" spans="1:9" ht="11.25" customHeight="1">
      <c r="A132" t="s">
        <v>2215</v>
      </c>
      <c r="B132" t="s">
        <v>14</v>
      </c>
      <c r="C132" t="s">
        <v>2362</v>
      </c>
      <c r="D132" t="s">
        <v>2363</v>
      </c>
      <c r="E132" t="s">
        <v>2364</v>
      </c>
      <c r="F132" t="s">
        <v>2227</v>
      </c>
      <c r="G132" t="s">
        <v>18</v>
      </c>
      <c r="H132" t="s">
        <v>18</v>
      </c>
      <c r="I132" t="s">
        <v>812</v>
      </c>
    </row>
    <row r="133" spans="1:9" ht="11.25" customHeight="1">
      <c r="A133" t="s">
        <v>2215</v>
      </c>
      <c r="B133" t="s">
        <v>14</v>
      </c>
      <c r="C133" t="s">
        <v>2365</v>
      </c>
      <c r="D133" t="s">
        <v>2366</v>
      </c>
      <c r="E133" t="s">
        <v>2367</v>
      </c>
      <c r="F133" t="s">
        <v>2231</v>
      </c>
      <c r="G133" t="s">
        <v>18</v>
      </c>
      <c r="H133" t="s">
        <v>18</v>
      </c>
      <c r="I133" t="s">
        <v>812</v>
      </c>
    </row>
    <row r="134" spans="1:9" ht="11.25" customHeight="1">
      <c r="A134" t="s">
        <v>2215</v>
      </c>
      <c r="B134" t="s">
        <v>14</v>
      </c>
      <c r="C134" t="s">
        <v>2376</v>
      </c>
      <c r="D134" t="s">
        <v>2377</v>
      </c>
      <c r="E134" t="s">
        <v>2378</v>
      </c>
      <c r="F134" t="s">
        <v>2262</v>
      </c>
      <c r="G134" t="s">
        <v>18</v>
      </c>
      <c r="H134" t="s">
        <v>2379</v>
      </c>
      <c r="I134" t="s">
        <v>812</v>
      </c>
    </row>
    <row r="135" spans="1:9" ht="11.25" customHeight="1">
      <c r="A135" t="s">
        <v>2215</v>
      </c>
      <c r="B135" t="s">
        <v>14</v>
      </c>
      <c r="C135" t="s">
        <v>2392</v>
      </c>
      <c r="D135" t="s">
        <v>2393</v>
      </c>
      <c r="E135" t="s">
        <v>2394</v>
      </c>
      <c r="F135" t="s">
        <v>2227</v>
      </c>
      <c r="G135" t="s">
        <v>18</v>
      </c>
      <c r="H135" t="s">
        <v>2395</v>
      </c>
      <c r="I135" t="s">
        <v>812</v>
      </c>
    </row>
    <row r="136" spans="1:9" ht="11.25" customHeight="1">
      <c r="A136" t="s">
        <v>2215</v>
      </c>
      <c r="B136" t="s">
        <v>14</v>
      </c>
      <c r="C136" t="s">
        <v>2396</v>
      </c>
      <c r="D136" t="s">
        <v>2397</v>
      </c>
      <c r="E136" t="s">
        <v>2398</v>
      </c>
      <c r="F136" t="s">
        <v>2308</v>
      </c>
      <c r="G136" t="s">
        <v>18</v>
      </c>
      <c r="H136" t="s">
        <v>18</v>
      </c>
      <c r="I136" t="s">
        <v>812</v>
      </c>
    </row>
    <row r="137" spans="1:9" ht="11.25" customHeight="1">
      <c r="A137" t="s">
        <v>2215</v>
      </c>
      <c r="B137" t="s">
        <v>14</v>
      </c>
      <c r="C137" t="s">
        <v>2399</v>
      </c>
      <c r="D137" t="s">
        <v>2400</v>
      </c>
      <c r="E137" t="s">
        <v>2401</v>
      </c>
      <c r="F137" t="s">
        <v>2227</v>
      </c>
      <c r="G137" t="s">
        <v>18</v>
      </c>
      <c r="H137" t="s">
        <v>18</v>
      </c>
      <c r="I137" t="s">
        <v>812</v>
      </c>
    </row>
    <row r="138" spans="1:9" ht="11.25" customHeight="1">
      <c r="A138" t="s">
        <v>2215</v>
      </c>
      <c r="B138" t="s">
        <v>14</v>
      </c>
      <c r="C138" t="s">
        <v>2406</v>
      </c>
      <c r="D138" t="s">
        <v>2407</v>
      </c>
      <c r="E138" t="s">
        <v>2408</v>
      </c>
      <c r="F138" t="s">
        <v>46</v>
      </c>
      <c r="G138" t="s">
        <v>18</v>
      </c>
      <c r="H138" t="s">
        <v>18</v>
      </c>
      <c r="I138" t="s">
        <v>812</v>
      </c>
    </row>
    <row r="139" spans="1:9" ht="11.25" customHeight="1">
      <c r="A139" t="s">
        <v>2215</v>
      </c>
      <c r="B139" t="s">
        <v>14</v>
      </c>
      <c r="C139" t="s">
        <v>2409</v>
      </c>
      <c r="D139" t="s">
        <v>2410</v>
      </c>
      <c r="E139" t="s">
        <v>2411</v>
      </c>
      <c r="F139" t="s">
        <v>2412</v>
      </c>
      <c r="G139" t="s">
        <v>18</v>
      </c>
      <c r="H139" t="s">
        <v>18</v>
      </c>
      <c r="I139" t="s">
        <v>812</v>
      </c>
    </row>
    <row r="140" spans="1:9" ht="11.25" customHeight="1">
      <c r="A140" t="s">
        <v>2215</v>
      </c>
      <c r="B140" t="s">
        <v>14</v>
      </c>
      <c r="C140" t="s">
        <v>2437</v>
      </c>
      <c r="D140" t="s">
        <v>2438</v>
      </c>
      <c r="E140" t="s">
        <v>2439</v>
      </c>
      <c r="F140" t="s">
        <v>2387</v>
      </c>
      <c r="G140" t="s">
        <v>18</v>
      </c>
      <c r="H140" t="s">
        <v>2440</v>
      </c>
      <c r="I140" t="s">
        <v>812</v>
      </c>
    </row>
    <row r="141" spans="1:9" ht="11.25" customHeight="1">
      <c r="A141" t="s">
        <v>2215</v>
      </c>
      <c r="B141" t="s">
        <v>14</v>
      </c>
      <c r="C141" t="s">
        <v>2441</v>
      </c>
      <c r="D141" t="s">
        <v>2442</v>
      </c>
      <c r="E141" t="s">
        <v>2443</v>
      </c>
      <c r="F141" t="s">
        <v>2227</v>
      </c>
      <c r="G141" t="s">
        <v>18</v>
      </c>
      <c r="H141" t="s">
        <v>18</v>
      </c>
      <c r="I141" t="s">
        <v>812</v>
      </c>
    </row>
    <row r="142" spans="1:9" ht="11.25" customHeight="1">
      <c r="A142" t="s">
        <v>2215</v>
      </c>
      <c r="B142" t="s">
        <v>14</v>
      </c>
      <c r="C142" t="s">
        <v>2444</v>
      </c>
      <c r="D142" t="s">
        <v>2445</v>
      </c>
      <c r="E142" t="s">
        <v>2446</v>
      </c>
      <c r="F142" t="s">
        <v>2412</v>
      </c>
      <c r="G142" t="s">
        <v>2447</v>
      </c>
      <c r="H142" t="s">
        <v>2448</v>
      </c>
      <c r="I142" t="s">
        <v>812</v>
      </c>
    </row>
    <row r="143" spans="1:9" ht="11.25" customHeight="1">
      <c r="A143" t="s">
        <v>2215</v>
      </c>
      <c r="B143" t="s">
        <v>14</v>
      </c>
      <c r="C143" t="s">
        <v>2449</v>
      </c>
      <c r="D143" t="s">
        <v>2450</v>
      </c>
      <c r="E143" t="s">
        <v>2451</v>
      </c>
      <c r="F143" t="s">
        <v>2227</v>
      </c>
      <c r="G143" t="s">
        <v>18</v>
      </c>
      <c r="H143" t="s">
        <v>2452</v>
      </c>
      <c r="I143" t="s">
        <v>812</v>
      </c>
    </row>
    <row r="144" spans="1:9" ht="11.25" customHeight="1">
      <c r="A144" t="s">
        <v>2215</v>
      </c>
      <c r="B144" t="s">
        <v>14</v>
      </c>
      <c r="C144" t="s">
        <v>2453</v>
      </c>
      <c r="D144" t="s">
        <v>2454</v>
      </c>
      <c r="E144" t="s">
        <v>2455</v>
      </c>
      <c r="F144" t="s">
        <v>2456</v>
      </c>
      <c r="G144" t="s">
        <v>2457</v>
      </c>
      <c r="H144" t="s">
        <v>18</v>
      </c>
      <c r="I144" t="s">
        <v>812</v>
      </c>
    </row>
    <row r="145" spans="1:9" ht="11.25" customHeight="1">
      <c r="A145" t="s">
        <v>2215</v>
      </c>
      <c r="B145" t="s">
        <v>14</v>
      </c>
      <c r="C145" t="s">
        <v>2476</v>
      </c>
      <c r="D145" t="s">
        <v>2477</v>
      </c>
      <c r="E145" t="s">
        <v>2478</v>
      </c>
      <c r="F145" t="s">
        <v>2479</v>
      </c>
      <c r="G145" t="s">
        <v>18</v>
      </c>
      <c r="H145" t="s">
        <v>18</v>
      </c>
      <c r="I145" t="s">
        <v>812</v>
      </c>
    </row>
    <row r="146" spans="1:9" ht="11.25" customHeight="1">
      <c r="A146" t="s">
        <v>2215</v>
      </c>
      <c r="B146" t="s">
        <v>14</v>
      </c>
      <c r="C146" t="s">
        <v>2480</v>
      </c>
      <c r="D146" t="s">
        <v>2481</v>
      </c>
      <c r="E146" t="s">
        <v>2482</v>
      </c>
      <c r="F146" t="s">
        <v>2227</v>
      </c>
      <c r="G146" t="s">
        <v>18</v>
      </c>
      <c r="H146" t="s">
        <v>18</v>
      </c>
      <c r="I146" t="s">
        <v>812</v>
      </c>
    </row>
    <row r="147" spans="1:9" ht="11.25" customHeight="1">
      <c r="A147" t="s">
        <v>2215</v>
      </c>
      <c r="B147" t="s">
        <v>14</v>
      </c>
      <c r="C147" t="s">
        <v>2483</v>
      </c>
      <c r="D147" t="s">
        <v>2484</v>
      </c>
      <c r="E147" t="s">
        <v>2485</v>
      </c>
      <c r="F147" t="s">
        <v>2343</v>
      </c>
      <c r="G147" t="s">
        <v>18</v>
      </c>
      <c r="H147" t="s">
        <v>2486</v>
      </c>
      <c r="I147" t="s">
        <v>812</v>
      </c>
    </row>
    <row r="148" spans="1:9" ht="11.25" customHeight="1">
      <c r="A148" t="s">
        <v>2215</v>
      </c>
      <c r="B148" t="s">
        <v>14</v>
      </c>
      <c r="C148" t="s">
        <v>2487</v>
      </c>
      <c r="D148" t="s">
        <v>2488</v>
      </c>
      <c r="E148" t="s">
        <v>2489</v>
      </c>
      <c r="F148" t="s">
        <v>2227</v>
      </c>
      <c r="G148" t="s">
        <v>2490</v>
      </c>
      <c r="H148" t="s">
        <v>2491</v>
      </c>
      <c r="I148" t="s">
        <v>812</v>
      </c>
    </row>
    <row r="149" spans="1:9" ht="11.25" customHeight="1">
      <c r="A149" t="s">
        <v>2215</v>
      </c>
      <c r="B149" t="s">
        <v>14</v>
      </c>
      <c r="C149" t="s">
        <v>2492</v>
      </c>
      <c r="D149" t="s">
        <v>2493</v>
      </c>
      <c r="E149" t="s">
        <v>2494</v>
      </c>
      <c r="F149" t="s">
        <v>2296</v>
      </c>
      <c r="G149" t="s">
        <v>18</v>
      </c>
      <c r="H149" t="s">
        <v>2495</v>
      </c>
      <c r="I149" t="s">
        <v>812</v>
      </c>
    </row>
    <row r="150" spans="1:9" ht="11.25" customHeight="1">
      <c r="A150" t="s">
        <v>2215</v>
      </c>
      <c r="B150" t="s">
        <v>14</v>
      </c>
      <c r="C150" t="s">
        <v>2504</v>
      </c>
      <c r="D150" t="s">
        <v>2505</v>
      </c>
      <c r="E150" t="s">
        <v>2506</v>
      </c>
      <c r="F150" t="s">
        <v>2227</v>
      </c>
      <c r="G150" t="s">
        <v>18</v>
      </c>
      <c r="H150" t="s">
        <v>18</v>
      </c>
      <c r="I150" t="s">
        <v>812</v>
      </c>
    </row>
    <row r="151" spans="1:9" ht="11.25" customHeight="1">
      <c r="A151" t="s">
        <v>2215</v>
      </c>
      <c r="B151" t="s">
        <v>14</v>
      </c>
      <c r="C151" t="s">
        <v>2507</v>
      </c>
      <c r="D151" t="s">
        <v>2508</v>
      </c>
      <c r="E151" t="s">
        <v>2509</v>
      </c>
      <c r="F151" t="s">
        <v>2296</v>
      </c>
      <c r="G151" t="s">
        <v>18</v>
      </c>
      <c r="H151" t="s">
        <v>2428</v>
      </c>
      <c r="I151" t="s">
        <v>812</v>
      </c>
    </row>
    <row r="152" spans="1:9" ht="11.25" customHeight="1">
      <c r="A152" t="s">
        <v>2215</v>
      </c>
      <c r="B152" t="s">
        <v>14</v>
      </c>
      <c r="C152" t="s">
        <v>2510</v>
      </c>
      <c r="D152" t="s">
        <v>2511</v>
      </c>
      <c r="E152" t="s">
        <v>2512</v>
      </c>
      <c r="F152" t="s">
        <v>2231</v>
      </c>
      <c r="G152" t="s">
        <v>18</v>
      </c>
      <c r="H152" t="s">
        <v>2513</v>
      </c>
      <c r="I152" t="s">
        <v>812</v>
      </c>
    </row>
    <row r="153" spans="1:9" ht="11.25" customHeight="1">
      <c r="A153" t="s">
        <v>2215</v>
      </c>
      <c r="B153" t="s">
        <v>14</v>
      </c>
      <c r="C153" t="s">
        <v>2514</v>
      </c>
      <c r="D153" t="s">
        <v>2515</v>
      </c>
      <c r="E153" t="s">
        <v>2516</v>
      </c>
      <c r="F153" t="s">
        <v>2517</v>
      </c>
      <c r="G153" t="s">
        <v>2518</v>
      </c>
      <c r="H153" t="s">
        <v>18</v>
      </c>
      <c r="I153" t="s">
        <v>812</v>
      </c>
    </row>
    <row r="154" spans="1:9" ht="11.25" customHeight="1">
      <c r="A154" t="s">
        <v>2215</v>
      </c>
      <c r="B154" t="s">
        <v>14</v>
      </c>
      <c r="C154" t="s">
        <v>2524</v>
      </c>
      <c r="D154" t="s">
        <v>2525</v>
      </c>
      <c r="E154" t="s">
        <v>2526</v>
      </c>
      <c r="F154" t="s">
        <v>2231</v>
      </c>
      <c r="G154" t="s">
        <v>18</v>
      </c>
      <c r="H154" t="s">
        <v>2527</v>
      </c>
      <c r="I154" t="s">
        <v>812</v>
      </c>
    </row>
    <row r="155" spans="1:9" ht="11.25" customHeight="1">
      <c r="A155" t="s">
        <v>2215</v>
      </c>
      <c r="B155" t="s">
        <v>14</v>
      </c>
      <c r="C155" t="s">
        <v>2528</v>
      </c>
      <c r="D155" t="s">
        <v>2529</v>
      </c>
      <c r="E155" t="s">
        <v>2530</v>
      </c>
      <c r="F155" t="s">
        <v>2296</v>
      </c>
      <c r="G155" t="s">
        <v>18</v>
      </c>
      <c r="H155" t="s">
        <v>18</v>
      </c>
      <c r="I155" t="s">
        <v>812</v>
      </c>
    </row>
    <row r="156" spans="1:9" ht="11.25" customHeight="1">
      <c r="A156" t="s">
        <v>2215</v>
      </c>
      <c r="B156" t="s">
        <v>14</v>
      </c>
      <c r="C156" t="s">
        <v>2534</v>
      </c>
      <c r="D156" t="s">
        <v>2535</v>
      </c>
      <c r="E156" t="s">
        <v>2536</v>
      </c>
      <c r="F156" t="s">
        <v>2412</v>
      </c>
      <c r="G156" t="s">
        <v>18</v>
      </c>
      <c r="H156" t="s">
        <v>2537</v>
      </c>
      <c r="I156" t="s">
        <v>812</v>
      </c>
    </row>
    <row r="157" spans="1:9" ht="11.25" customHeight="1">
      <c r="A157" t="s">
        <v>2215</v>
      </c>
      <c r="B157" t="s">
        <v>14</v>
      </c>
      <c r="C157" t="s">
        <v>2538</v>
      </c>
      <c r="D157" t="s">
        <v>2539</v>
      </c>
      <c r="E157" t="s">
        <v>2540</v>
      </c>
      <c r="F157" t="s">
        <v>2296</v>
      </c>
      <c r="G157" t="s">
        <v>2541</v>
      </c>
      <c r="H157" t="s">
        <v>2542</v>
      </c>
      <c r="I157" t="s">
        <v>812</v>
      </c>
    </row>
    <row r="158" spans="1:9" ht="11.25" customHeight="1">
      <c r="A158" t="s">
        <v>2215</v>
      </c>
      <c r="B158" t="s">
        <v>14</v>
      </c>
      <c r="C158" t="s">
        <v>2543</v>
      </c>
      <c r="D158" t="s">
        <v>2544</v>
      </c>
      <c r="E158" t="s">
        <v>2545</v>
      </c>
      <c r="F158" t="s">
        <v>2343</v>
      </c>
      <c r="G158" t="s">
        <v>2546</v>
      </c>
      <c r="H158" t="s">
        <v>18</v>
      </c>
      <c r="I158" t="s">
        <v>812</v>
      </c>
    </row>
    <row r="159" spans="1:9" ht="11.25" customHeight="1">
      <c r="A159" t="s">
        <v>2215</v>
      </c>
      <c r="B159" t="s">
        <v>14</v>
      </c>
      <c r="C159" t="s">
        <v>2550</v>
      </c>
      <c r="D159" t="s">
        <v>2551</v>
      </c>
      <c r="E159" t="s">
        <v>2552</v>
      </c>
      <c r="F159" t="s">
        <v>2517</v>
      </c>
      <c r="G159" t="s">
        <v>18</v>
      </c>
      <c r="H159" t="s">
        <v>18</v>
      </c>
      <c r="I159" t="s">
        <v>812</v>
      </c>
    </row>
    <row r="160" spans="1:9" ht="11.25" customHeight="1">
      <c r="A160" t="s">
        <v>2215</v>
      </c>
      <c r="B160" t="s">
        <v>14</v>
      </c>
      <c r="C160" t="s">
        <v>2558</v>
      </c>
      <c r="D160" t="s">
        <v>2559</v>
      </c>
      <c r="E160" t="s">
        <v>2560</v>
      </c>
      <c r="F160" t="s">
        <v>2332</v>
      </c>
      <c r="G160" t="s">
        <v>18</v>
      </c>
      <c r="H160" t="s">
        <v>2561</v>
      </c>
      <c r="I160" t="s">
        <v>812</v>
      </c>
    </row>
    <row r="161" spans="1:9" ht="11.25" customHeight="1">
      <c r="A161" t="s">
        <v>2215</v>
      </c>
      <c r="B161" t="s">
        <v>14</v>
      </c>
      <c r="C161" t="s">
        <v>2562</v>
      </c>
      <c r="D161" t="s">
        <v>2563</v>
      </c>
      <c r="E161" t="s">
        <v>2564</v>
      </c>
      <c r="F161" t="s">
        <v>2565</v>
      </c>
      <c r="G161" t="s">
        <v>18</v>
      </c>
      <c r="H161" t="s">
        <v>18</v>
      </c>
      <c r="I161" t="s">
        <v>812</v>
      </c>
    </row>
    <row r="162" spans="1:9" ht="11.25" customHeight="1">
      <c r="A162" t="s">
        <v>2215</v>
      </c>
      <c r="B162" t="s">
        <v>14</v>
      </c>
      <c r="C162" t="s">
        <v>2569</v>
      </c>
      <c r="D162" t="s">
        <v>2570</v>
      </c>
      <c r="E162" t="s">
        <v>2571</v>
      </c>
      <c r="F162" t="s">
        <v>2296</v>
      </c>
      <c r="G162" t="s">
        <v>2572</v>
      </c>
      <c r="H162" t="s">
        <v>2573</v>
      </c>
      <c r="I162" t="s">
        <v>812</v>
      </c>
    </row>
    <row r="163" spans="1:9" ht="11.25" customHeight="1">
      <c r="A163" t="s">
        <v>2215</v>
      </c>
      <c r="B163" t="s">
        <v>14</v>
      </c>
      <c r="C163" t="s">
        <v>2574</v>
      </c>
      <c r="D163" t="s">
        <v>2575</v>
      </c>
      <c r="E163" t="s">
        <v>2576</v>
      </c>
      <c r="F163" t="s">
        <v>2227</v>
      </c>
      <c r="G163" t="s">
        <v>18</v>
      </c>
      <c r="H163" t="s">
        <v>2577</v>
      </c>
      <c r="I163" t="s">
        <v>812</v>
      </c>
    </row>
    <row r="164" spans="1:9" ht="11.25" customHeight="1">
      <c r="A164" t="s">
        <v>2215</v>
      </c>
      <c r="B164" t="s">
        <v>14</v>
      </c>
      <c r="C164" t="s">
        <v>2582</v>
      </c>
      <c r="D164" t="s">
        <v>2583</v>
      </c>
      <c r="E164" t="s">
        <v>2584</v>
      </c>
      <c r="F164" t="s">
        <v>2262</v>
      </c>
      <c r="G164" t="s">
        <v>18</v>
      </c>
      <c r="H164" t="s">
        <v>18</v>
      </c>
      <c r="I164" t="s">
        <v>812</v>
      </c>
    </row>
    <row r="165" spans="1:9" ht="11.25" customHeight="1">
      <c r="A165" t="s">
        <v>2215</v>
      </c>
      <c r="B165" t="s">
        <v>14</v>
      </c>
      <c r="C165" t="s">
        <v>2585</v>
      </c>
      <c r="D165" t="s">
        <v>2586</v>
      </c>
      <c r="E165" t="s">
        <v>2587</v>
      </c>
      <c r="F165" t="s">
        <v>2231</v>
      </c>
      <c r="G165" t="s">
        <v>18</v>
      </c>
      <c r="H165" t="s">
        <v>18</v>
      </c>
      <c r="I165" t="s">
        <v>812</v>
      </c>
    </row>
    <row r="166" spans="1:9" ht="11.25" customHeight="1">
      <c r="A166" t="s">
        <v>2215</v>
      </c>
      <c r="B166" t="s">
        <v>14</v>
      </c>
      <c r="C166" t="s">
        <v>2588</v>
      </c>
      <c r="D166" t="s">
        <v>2589</v>
      </c>
      <c r="E166" t="s">
        <v>2590</v>
      </c>
      <c r="F166" t="s">
        <v>2227</v>
      </c>
      <c r="G166" t="s">
        <v>2591</v>
      </c>
      <c r="H166" t="s">
        <v>2592</v>
      </c>
      <c r="I166" t="s">
        <v>812</v>
      </c>
    </row>
    <row r="167" spans="1:9" ht="11.25" customHeight="1">
      <c r="A167" t="s">
        <v>2215</v>
      </c>
      <c r="B167" t="s">
        <v>14</v>
      </c>
      <c r="C167" t="s">
        <v>2593</v>
      </c>
      <c r="D167" t="s">
        <v>2594</v>
      </c>
      <c r="E167" t="s">
        <v>2595</v>
      </c>
      <c r="F167" t="s">
        <v>2596</v>
      </c>
      <c r="G167" t="s">
        <v>2597</v>
      </c>
      <c r="H167" t="s">
        <v>18</v>
      </c>
      <c r="I167" t="s">
        <v>812</v>
      </c>
    </row>
    <row r="168" spans="1:9" ht="11.25" customHeight="1">
      <c r="A168" t="s">
        <v>2215</v>
      </c>
      <c r="B168" t="s">
        <v>14</v>
      </c>
      <c r="C168" t="s">
        <v>2601</v>
      </c>
      <c r="D168" t="s">
        <v>2602</v>
      </c>
      <c r="E168" t="s">
        <v>2603</v>
      </c>
      <c r="F168" t="s">
        <v>2231</v>
      </c>
      <c r="G168" t="s">
        <v>18</v>
      </c>
      <c r="H168" t="s">
        <v>18</v>
      </c>
      <c r="I168" t="s">
        <v>812</v>
      </c>
    </row>
    <row r="169" spans="1:9" ht="11.25" customHeight="1">
      <c r="A169" t="s">
        <v>2215</v>
      </c>
      <c r="B169" t="s">
        <v>14</v>
      </c>
      <c r="C169" t="s">
        <v>2609</v>
      </c>
      <c r="D169" t="s">
        <v>2610</v>
      </c>
      <c r="E169" t="s">
        <v>2595</v>
      </c>
      <c r="F169" t="s">
        <v>2611</v>
      </c>
      <c r="G169" t="s">
        <v>2612</v>
      </c>
      <c r="H169" t="s">
        <v>18</v>
      </c>
      <c r="I169" t="s">
        <v>812</v>
      </c>
    </row>
    <row r="170" spans="1:9" ht="11.25" customHeight="1">
      <c r="A170" t="s">
        <v>2215</v>
      </c>
      <c r="B170" t="s">
        <v>14</v>
      </c>
      <c r="C170" t="s">
        <v>2618</v>
      </c>
      <c r="D170" t="s">
        <v>2619</v>
      </c>
      <c r="E170" t="s">
        <v>2620</v>
      </c>
      <c r="F170" t="s">
        <v>2621</v>
      </c>
      <c r="G170" t="s">
        <v>18</v>
      </c>
      <c r="H170" t="s">
        <v>18</v>
      </c>
      <c r="I170" t="s">
        <v>812</v>
      </c>
    </row>
    <row r="171" spans="1:9" ht="11.25" customHeight="1">
      <c r="A171" t="s">
        <v>2215</v>
      </c>
      <c r="B171" t="s">
        <v>14</v>
      </c>
      <c r="C171" t="s">
        <v>2632</v>
      </c>
      <c r="D171" t="s">
        <v>2633</v>
      </c>
      <c r="E171" t="s">
        <v>2634</v>
      </c>
      <c r="F171" t="s">
        <v>2630</v>
      </c>
      <c r="G171" t="s">
        <v>18</v>
      </c>
      <c r="H171" t="s">
        <v>18</v>
      </c>
      <c r="I171" t="s">
        <v>812</v>
      </c>
    </row>
    <row r="172" spans="1:9" ht="11.25" customHeight="1">
      <c r="A172" t="s">
        <v>2215</v>
      </c>
      <c r="B172" t="s">
        <v>14</v>
      </c>
      <c r="C172" t="s">
        <v>2641</v>
      </c>
      <c r="D172" t="s">
        <v>2642</v>
      </c>
      <c r="E172" t="s">
        <v>2266</v>
      </c>
      <c r="F172" t="s">
        <v>2643</v>
      </c>
      <c r="G172" t="s">
        <v>2644</v>
      </c>
      <c r="H172" t="s">
        <v>2645</v>
      </c>
      <c r="I172" t="s">
        <v>812</v>
      </c>
    </row>
    <row r="173" spans="1:9" ht="11.25" customHeight="1">
      <c r="A173" t="s">
        <v>2215</v>
      </c>
      <c r="B173" t="s">
        <v>14</v>
      </c>
      <c r="C173" t="s">
        <v>2216</v>
      </c>
      <c r="D173" t="s">
        <v>2217</v>
      </c>
      <c r="E173" t="s">
        <v>2218</v>
      </c>
      <c r="F173" t="s">
        <v>2219</v>
      </c>
      <c r="G173" t="s">
        <v>2220</v>
      </c>
      <c r="H173" t="s">
        <v>18</v>
      </c>
      <c r="I173" t="s">
        <v>771</v>
      </c>
    </row>
    <row r="174" spans="1:9" ht="11.25" customHeight="1">
      <c r="A174" t="s">
        <v>2215</v>
      </c>
      <c r="B174" t="s">
        <v>14</v>
      </c>
      <c r="C174" t="s">
        <v>2221</v>
      </c>
      <c r="D174" t="s">
        <v>2217</v>
      </c>
      <c r="E174" t="s">
        <v>2218</v>
      </c>
      <c r="F174" t="s">
        <v>2222</v>
      </c>
      <c r="G174" t="s">
        <v>2223</v>
      </c>
      <c r="H174" t="s">
        <v>18</v>
      </c>
      <c r="I174" t="s">
        <v>771</v>
      </c>
    </row>
    <row r="175" spans="1:9" ht="11.25" customHeight="1">
      <c r="A175" t="s">
        <v>2215</v>
      </c>
      <c r="B175" t="s">
        <v>14</v>
      </c>
      <c r="C175" t="s">
        <v>2651</v>
      </c>
      <c r="D175" t="s">
        <v>2652</v>
      </c>
      <c r="E175" t="s">
        <v>2653</v>
      </c>
      <c r="F175" t="s">
        <v>2281</v>
      </c>
      <c r="G175" t="s">
        <v>2654</v>
      </c>
      <c r="H175" t="s">
        <v>18</v>
      </c>
      <c r="I175" t="s">
        <v>771</v>
      </c>
    </row>
    <row r="176" spans="1:9" ht="11.25" customHeight="1">
      <c r="A176" t="s">
        <v>2215</v>
      </c>
      <c r="B176" t="s">
        <v>14</v>
      </c>
      <c r="C176" t="s">
        <v>2655</v>
      </c>
      <c r="D176" t="s">
        <v>2656</v>
      </c>
      <c r="E176" t="s">
        <v>2657</v>
      </c>
      <c r="F176" t="s">
        <v>46</v>
      </c>
      <c r="G176" t="s">
        <v>2658</v>
      </c>
      <c r="H176" t="s">
        <v>2499</v>
      </c>
      <c r="I176" t="s">
        <v>771</v>
      </c>
    </row>
    <row r="177" spans="1:9" ht="11.25" customHeight="1">
      <c r="A177" t="s">
        <v>2215</v>
      </c>
      <c r="B177" t="s">
        <v>14</v>
      </c>
      <c r="C177" t="s">
        <v>2224</v>
      </c>
      <c r="D177" t="s">
        <v>2225</v>
      </c>
      <c r="E177" t="s">
        <v>2226</v>
      </c>
      <c r="F177" t="s">
        <v>2227</v>
      </c>
      <c r="G177" t="s">
        <v>18</v>
      </c>
      <c r="H177" t="s">
        <v>18</v>
      </c>
      <c r="I177" t="s">
        <v>771</v>
      </c>
    </row>
    <row r="178" spans="1:9" ht="11.25" customHeight="1">
      <c r="A178" t="s">
        <v>2215</v>
      </c>
      <c r="B178" t="s">
        <v>14</v>
      </c>
      <c r="C178" t="s">
        <v>2659</v>
      </c>
      <c r="D178" t="s">
        <v>2660</v>
      </c>
      <c r="E178" t="s">
        <v>2661</v>
      </c>
      <c r="F178" t="s">
        <v>2227</v>
      </c>
      <c r="G178" t="s">
        <v>2662</v>
      </c>
      <c r="H178" t="s">
        <v>18</v>
      </c>
      <c r="I178" t="s">
        <v>771</v>
      </c>
    </row>
    <row r="179" spans="1:9" ht="11.25" customHeight="1">
      <c r="A179" t="s">
        <v>2215</v>
      </c>
      <c r="B179" t="s">
        <v>14</v>
      </c>
      <c r="C179" t="s">
        <v>2237</v>
      </c>
      <c r="D179" t="s">
        <v>2238</v>
      </c>
      <c r="E179" t="s">
        <v>2239</v>
      </c>
      <c r="F179" t="s">
        <v>2236</v>
      </c>
      <c r="G179" t="s">
        <v>2240</v>
      </c>
      <c r="H179" t="s">
        <v>18</v>
      </c>
      <c r="I179" t="s">
        <v>771</v>
      </c>
    </row>
    <row r="180" spans="1:9" ht="11.25" customHeight="1">
      <c r="A180" t="s">
        <v>2215</v>
      </c>
      <c r="B180" t="s">
        <v>14</v>
      </c>
      <c r="C180" t="s">
        <v>2663</v>
      </c>
      <c r="D180" t="s">
        <v>2664</v>
      </c>
      <c r="E180" t="s">
        <v>2665</v>
      </c>
      <c r="F180" t="s">
        <v>2244</v>
      </c>
      <c r="G180" t="s">
        <v>2666</v>
      </c>
      <c r="H180" t="s">
        <v>18</v>
      </c>
      <c r="I180" t="s">
        <v>771</v>
      </c>
    </row>
    <row r="181" spans="1:9" ht="11.25" customHeight="1">
      <c r="A181" t="s">
        <v>2215</v>
      </c>
      <c r="B181" t="s">
        <v>14</v>
      </c>
      <c r="C181" t="s">
        <v>2248</v>
      </c>
      <c r="D181" t="s">
        <v>2249</v>
      </c>
      <c r="E181" t="s">
        <v>2250</v>
      </c>
      <c r="F181" t="s">
        <v>2231</v>
      </c>
      <c r="G181" t="s">
        <v>2251</v>
      </c>
      <c r="H181" t="s">
        <v>18</v>
      </c>
      <c r="I181" t="s">
        <v>771</v>
      </c>
    </row>
    <row r="182" spans="1:9" ht="11.25" customHeight="1">
      <c r="A182" t="s">
        <v>2215</v>
      </c>
      <c r="B182" t="s">
        <v>14</v>
      </c>
      <c r="C182" t="s">
        <v>2255</v>
      </c>
      <c r="D182" t="s">
        <v>2256</v>
      </c>
      <c r="E182" t="s">
        <v>2257</v>
      </c>
      <c r="F182" t="s">
        <v>2258</v>
      </c>
      <c r="G182" t="s">
        <v>18</v>
      </c>
      <c r="H182" t="s">
        <v>18</v>
      </c>
      <c r="I182" t="s">
        <v>771</v>
      </c>
    </row>
    <row r="183" spans="1:9" ht="11.25" customHeight="1">
      <c r="A183" t="s">
        <v>2215</v>
      </c>
      <c r="B183" t="s">
        <v>14</v>
      </c>
      <c r="C183" t="s">
        <v>2259</v>
      </c>
      <c r="D183" t="s">
        <v>2260</v>
      </c>
      <c r="E183" t="s">
        <v>2261</v>
      </c>
      <c r="F183" t="s">
        <v>2262</v>
      </c>
      <c r="G183" t="s">
        <v>2263</v>
      </c>
      <c r="H183" t="s">
        <v>18</v>
      </c>
      <c r="I183" t="s">
        <v>771</v>
      </c>
    </row>
    <row r="184" spans="1:9" ht="11.25" customHeight="1">
      <c r="A184" t="s">
        <v>2215</v>
      </c>
      <c r="B184" t="s">
        <v>14</v>
      </c>
      <c r="C184" t="s">
        <v>2667</v>
      </c>
      <c r="D184" t="s">
        <v>2668</v>
      </c>
      <c r="E184" t="s">
        <v>2272</v>
      </c>
      <c r="F184" t="s">
        <v>2630</v>
      </c>
      <c r="G184" t="s">
        <v>2669</v>
      </c>
      <c r="H184" t="s">
        <v>18</v>
      </c>
      <c r="I184" t="s">
        <v>771</v>
      </c>
    </row>
    <row r="185" spans="1:9" ht="11.25" customHeight="1">
      <c r="A185" t="s">
        <v>2215</v>
      </c>
      <c r="B185" t="s">
        <v>14</v>
      </c>
      <c r="C185" t="s">
        <v>2274</v>
      </c>
      <c r="D185" t="s">
        <v>2275</v>
      </c>
      <c r="E185" t="s">
        <v>2276</v>
      </c>
      <c r="F185" t="s">
        <v>2231</v>
      </c>
      <c r="G185" t="s">
        <v>2277</v>
      </c>
      <c r="H185" t="s">
        <v>18</v>
      </c>
      <c r="I185" t="s">
        <v>771</v>
      </c>
    </row>
    <row r="186" spans="1:9" ht="11.25" customHeight="1">
      <c r="A186" t="s">
        <v>2215</v>
      </c>
      <c r="B186" t="s">
        <v>14</v>
      </c>
      <c r="C186" t="s">
        <v>2670</v>
      </c>
      <c r="D186" t="s">
        <v>2671</v>
      </c>
      <c r="E186" t="s">
        <v>2672</v>
      </c>
      <c r="F186" t="s">
        <v>2296</v>
      </c>
      <c r="G186" t="s">
        <v>2673</v>
      </c>
      <c r="H186" t="s">
        <v>18</v>
      </c>
      <c r="I186" t="s">
        <v>771</v>
      </c>
    </row>
    <row r="187" spans="1:9" ht="11.25" customHeight="1">
      <c r="A187" t="s">
        <v>2215</v>
      </c>
      <c r="B187" t="s">
        <v>14</v>
      </c>
      <c r="C187" t="s">
        <v>2285</v>
      </c>
      <c r="D187" t="s">
        <v>2286</v>
      </c>
      <c r="E187" t="s">
        <v>2287</v>
      </c>
      <c r="F187" t="s">
        <v>2231</v>
      </c>
      <c r="G187" t="s">
        <v>2288</v>
      </c>
      <c r="H187" t="s">
        <v>18</v>
      </c>
      <c r="I187" t="s">
        <v>771</v>
      </c>
    </row>
    <row r="188" spans="1:9" ht="11.25" customHeight="1">
      <c r="A188" t="s">
        <v>2215</v>
      </c>
      <c r="B188" t="s">
        <v>14</v>
      </c>
      <c r="C188" t="s">
        <v>2674</v>
      </c>
      <c r="D188" t="s">
        <v>2675</v>
      </c>
      <c r="E188" t="s">
        <v>2676</v>
      </c>
      <c r="F188" t="s">
        <v>2262</v>
      </c>
      <c r="G188" t="s">
        <v>2677</v>
      </c>
      <c r="H188" t="s">
        <v>2678</v>
      </c>
      <c r="I188" t="s">
        <v>771</v>
      </c>
    </row>
    <row r="189" spans="1:9" ht="11.25" customHeight="1">
      <c r="A189" t="s">
        <v>2215</v>
      </c>
      <c r="B189" t="s">
        <v>14</v>
      </c>
      <c r="C189" t="s">
        <v>2293</v>
      </c>
      <c r="D189" t="s">
        <v>2294</v>
      </c>
      <c r="E189" t="s">
        <v>2295</v>
      </c>
      <c r="F189" t="s">
        <v>2296</v>
      </c>
      <c r="G189" t="s">
        <v>2297</v>
      </c>
      <c r="H189" t="s">
        <v>2298</v>
      </c>
      <c r="I189" t="s">
        <v>771</v>
      </c>
    </row>
    <row r="190" spans="1:9" ht="11.25" customHeight="1">
      <c r="A190" t="s">
        <v>2215</v>
      </c>
      <c r="B190" t="s">
        <v>14</v>
      </c>
      <c r="C190" t="s">
        <v>18</v>
      </c>
      <c r="D190" t="s">
        <v>2299</v>
      </c>
      <c r="E190" t="s">
        <v>2300</v>
      </c>
      <c r="F190" t="s">
        <v>2231</v>
      </c>
      <c r="G190" t="s">
        <v>18</v>
      </c>
      <c r="H190" t="s">
        <v>18</v>
      </c>
      <c r="I190" t="s">
        <v>771</v>
      </c>
    </row>
    <row r="191" spans="1:9" ht="11.25" customHeight="1">
      <c r="A191" t="s">
        <v>2215</v>
      </c>
      <c r="B191" t="s">
        <v>14</v>
      </c>
      <c r="C191" t="s">
        <v>2679</v>
      </c>
      <c r="D191" t="s">
        <v>2680</v>
      </c>
      <c r="E191" t="s">
        <v>2681</v>
      </c>
      <c r="F191" t="s">
        <v>2308</v>
      </c>
      <c r="G191" t="s">
        <v>2682</v>
      </c>
      <c r="H191" t="s">
        <v>2683</v>
      </c>
      <c r="I191" t="s">
        <v>771</v>
      </c>
    </row>
    <row r="192" spans="1:9" ht="11.25" customHeight="1">
      <c r="A192" t="s">
        <v>2215</v>
      </c>
      <c r="B192" t="s">
        <v>14</v>
      </c>
      <c r="C192" t="s">
        <v>2305</v>
      </c>
      <c r="D192" t="s">
        <v>2306</v>
      </c>
      <c r="E192" t="s">
        <v>2307</v>
      </c>
      <c r="F192" t="s">
        <v>2308</v>
      </c>
      <c r="G192" t="s">
        <v>18</v>
      </c>
      <c r="H192" t="s">
        <v>18</v>
      </c>
      <c r="I192" t="s">
        <v>771</v>
      </c>
    </row>
    <row r="193" spans="1:9" ht="11.25" customHeight="1">
      <c r="A193" t="s">
        <v>2215</v>
      </c>
      <c r="B193" t="s">
        <v>14</v>
      </c>
      <c r="C193" t="s">
        <v>2684</v>
      </c>
      <c r="D193" t="s">
        <v>2685</v>
      </c>
      <c r="E193" t="s">
        <v>2686</v>
      </c>
      <c r="F193" t="s">
        <v>2227</v>
      </c>
      <c r="G193" t="s">
        <v>18</v>
      </c>
      <c r="H193" t="s">
        <v>18</v>
      </c>
      <c r="I193" t="s">
        <v>771</v>
      </c>
    </row>
    <row r="194" spans="1:9" ht="11.25" customHeight="1">
      <c r="A194" t="s">
        <v>2215</v>
      </c>
      <c r="B194" t="s">
        <v>14</v>
      </c>
      <c r="C194" t="s">
        <v>2309</v>
      </c>
      <c r="D194" t="s">
        <v>2310</v>
      </c>
      <c r="E194" t="s">
        <v>2311</v>
      </c>
      <c r="F194" t="s">
        <v>2227</v>
      </c>
      <c r="G194" t="s">
        <v>18</v>
      </c>
      <c r="H194" t="s">
        <v>18</v>
      </c>
      <c r="I194" t="s">
        <v>771</v>
      </c>
    </row>
    <row r="195" spans="1:9" ht="11.25" customHeight="1">
      <c r="A195" t="s">
        <v>2215</v>
      </c>
      <c r="B195" t="s">
        <v>14</v>
      </c>
      <c r="C195" t="s">
        <v>2687</v>
      </c>
      <c r="D195" t="s">
        <v>2688</v>
      </c>
      <c r="E195" t="s">
        <v>2689</v>
      </c>
      <c r="F195" t="s">
        <v>2227</v>
      </c>
      <c r="G195" t="s">
        <v>18</v>
      </c>
      <c r="H195" t="s">
        <v>2690</v>
      </c>
      <c r="I195" t="s">
        <v>771</v>
      </c>
    </row>
    <row r="196" spans="1:9" ht="11.25" customHeight="1">
      <c r="A196" t="s">
        <v>2215</v>
      </c>
      <c r="B196" t="s">
        <v>14</v>
      </c>
      <c r="C196" t="s">
        <v>2646</v>
      </c>
      <c r="D196" t="s">
        <v>2647</v>
      </c>
      <c r="E196" t="s">
        <v>2648</v>
      </c>
      <c r="F196" t="s">
        <v>2227</v>
      </c>
      <c r="G196" t="s">
        <v>2649</v>
      </c>
      <c r="H196" t="s">
        <v>2650</v>
      </c>
      <c r="I196" t="s">
        <v>771</v>
      </c>
    </row>
    <row r="197" spans="1:9" ht="11.25" customHeight="1">
      <c r="A197" t="s">
        <v>2215</v>
      </c>
      <c r="B197" t="s">
        <v>14</v>
      </c>
      <c r="C197" t="s">
        <v>2312</v>
      </c>
      <c r="D197" t="s">
        <v>2313</v>
      </c>
      <c r="E197" t="s">
        <v>2314</v>
      </c>
      <c r="F197" t="s">
        <v>2308</v>
      </c>
      <c r="G197" t="s">
        <v>2315</v>
      </c>
      <c r="H197" t="s">
        <v>18</v>
      </c>
      <c r="I197" t="s">
        <v>771</v>
      </c>
    </row>
    <row r="198" spans="1:9" ht="11.25" customHeight="1">
      <c r="A198" t="s">
        <v>2215</v>
      </c>
      <c r="B198" t="s">
        <v>14</v>
      </c>
      <c r="C198" t="s">
        <v>2316</v>
      </c>
      <c r="D198" t="s">
        <v>2317</v>
      </c>
      <c r="E198" t="s">
        <v>2318</v>
      </c>
      <c r="F198" t="s">
        <v>2308</v>
      </c>
      <c r="G198" t="s">
        <v>2319</v>
      </c>
      <c r="H198" t="s">
        <v>18</v>
      </c>
      <c r="I198" t="s">
        <v>771</v>
      </c>
    </row>
    <row r="199" spans="1:9" ht="11.25" customHeight="1">
      <c r="A199" t="s">
        <v>2215</v>
      </c>
      <c r="B199" t="s">
        <v>14</v>
      </c>
      <c r="C199" t="s">
        <v>2325</v>
      </c>
      <c r="D199" t="s">
        <v>2326</v>
      </c>
      <c r="E199" t="s">
        <v>2327</v>
      </c>
      <c r="F199" t="s">
        <v>2296</v>
      </c>
      <c r="G199" t="s">
        <v>2328</v>
      </c>
      <c r="H199" t="s">
        <v>18</v>
      </c>
      <c r="I199" t="s">
        <v>771</v>
      </c>
    </row>
    <row r="200" spans="1:9" ht="11.25" customHeight="1">
      <c r="A200" t="s">
        <v>2215</v>
      </c>
      <c r="B200" t="s">
        <v>14</v>
      </c>
      <c r="C200" t="s">
        <v>2329</v>
      </c>
      <c r="D200" t="s">
        <v>2330</v>
      </c>
      <c r="E200" t="s">
        <v>2331</v>
      </c>
      <c r="F200" t="s">
        <v>2332</v>
      </c>
      <c r="G200" t="s">
        <v>18</v>
      </c>
      <c r="H200" t="s">
        <v>18</v>
      </c>
      <c r="I200" t="s">
        <v>771</v>
      </c>
    </row>
    <row r="201" spans="1:9" ht="11.25" customHeight="1">
      <c r="A201" t="s">
        <v>2215</v>
      </c>
      <c r="B201" t="s">
        <v>14</v>
      </c>
      <c r="C201" t="s">
        <v>2691</v>
      </c>
      <c r="D201" t="s">
        <v>2692</v>
      </c>
      <c r="E201" t="s">
        <v>2693</v>
      </c>
      <c r="F201" t="s">
        <v>2308</v>
      </c>
      <c r="G201" t="s">
        <v>2694</v>
      </c>
      <c r="H201" t="s">
        <v>2695</v>
      </c>
      <c r="I201" t="s">
        <v>771</v>
      </c>
    </row>
    <row r="202" spans="1:9" ht="11.25" customHeight="1">
      <c r="A202" t="s">
        <v>2215</v>
      </c>
      <c r="B202" t="s">
        <v>14</v>
      </c>
      <c r="C202" t="s">
        <v>2696</v>
      </c>
      <c r="D202" t="s">
        <v>2697</v>
      </c>
      <c r="E202" t="s">
        <v>2698</v>
      </c>
      <c r="F202" t="s">
        <v>2699</v>
      </c>
      <c r="G202" t="s">
        <v>18</v>
      </c>
      <c r="H202" t="s">
        <v>18</v>
      </c>
      <c r="I202" t="s">
        <v>771</v>
      </c>
    </row>
    <row r="203" spans="1:9" ht="11.25" customHeight="1">
      <c r="A203" t="s">
        <v>2215</v>
      </c>
      <c r="B203" t="s">
        <v>14</v>
      </c>
      <c r="C203" t="s">
        <v>2340</v>
      </c>
      <c r="D203" t="s">
        <v>2341</v>
      </c>
      <c r="E203" t="s">
        <v>2342</v>
      </c>
      <c r="F203" t="s">
        <v>2343</v>
      </c>
      <c r="G203" t="s">
        <v>18</v>
      </c>
      <c r="H203" t="s">
        <v>18</v>
      </c>
      <c r="I203" t="s">
        <v>771</v>
      </c>
    </row>
    <row r="204" spans="1:9" ht="11.25" customHeight="1">
      <c r="A204" t="s">
        <v>2215</v>
      </c>
      <c r="B204" t="s">
        <v>14</v>
      </c>
      <c r="C204" t="s">
        <v>2344</v>
      </c>
      <c r="D204" t="s">
        <v>2345</v>
      </c>
      <c r="E204" t="s">
        <v>2346</v>
      </c>
      <c r="F204" t="s">
        <v>2227</v>
      </c>
      <c r="G204" t="s">
        <v>18</v>
      </c>
      <c r="H204" t="s">
        <v>2347</v>
      </c>
      <c r="I204" t="s">
        <v>771</v>
      </c>
    </row>
    <row r="205" spans="1:9" ht="11.25" customHeight="1">
      <c r="A205" t="s">
        <v>2215</v>
      </c>
      <c r="B205" t="s">
        <v>14</v>
      </c>
      <c r="C205" t="s">
        <v>2351</v>
      </c>
      <c r="D205" t="s">
        <v>2352</v>
      </c>
      <c r="E205" t="s">
        <v>2353</v>
      </c>
      <c r="F205" t="s">
        <v>2227</v>
      </c>
      <c r="G205" t="s">
        <v>18</v>
      </c>
      <c r="H205" t="s">
        <v>18</v>
      </c>
      <c r="I205" t="s">
        <v>771</v>
      </c>
    </row>
    <row r="206" spans="1:9" ht="11.25" customHeight="1">
      <c r="A206" t="s">
        <v>2215</v>
      </c>
      <c r="B206" t="s">
        <v>14</v>
      </c>
      <c r="C206" t="s">
        <v>2700</v>
      </c>
      <c r="D206" t="s">
        <v>2701</v>
      </c>
      <c r="E206" t="s">
        <v>2702</v>
      </c>
      <c r="F206" t="s">
        <v>2343</v>
      </c>
      <c r="G206" t="s">
        <v>2703</v>
      </c>
      <c r="H206" t="s">
        <v>18</v>
      </c>
      <c r="I206" t="s">
        <v>771</v>
      </c>
    </row>
    <row r="207" spans="1:9" ht="11.25" customHeight="1">
      <c r="A207" t="s">
        <v>2215</v>
      </c>
      <c r="B207" t="s">
        <v>14</v>
      </c>
      <c r="C207" t="s">
        <v>2357</v>
      </c>
      <c r="D207" t="s">
        <v>2358</v>
      </c>
      <c r="E207" t="s">
        <v>2359</v>
      </c>
      <c r="F207" t="s">
        <v>2227</v>
      </c>
      <c r="G207" t="s">
        <v>2360</v>
      </c>
      <c r="H207" t="s">
        <v>2361</v>
      </c>
      <c r="I207" t="s">
        <v>771</v>
      </c>
    </row>
    <row r="208" spans="1:9" ht="11.25" customHeight="1">
      <c r="A208" t="s">
        <v>2215</v>
      </c>
      <c r="B208" t="s">
        <v>14</v>
      </c>
      <c r="C208" t="s">
        <v>2362</v>
      </c>
      <c r="D208" t="s">
        <v>2363</v>
      </c>
      <c r="E208" t="s">
        <v>2364</v>
      </c>
      <c r="F208" t="s">
        <v>2227</v>
      </c>
      <c r="G208" t="s">
        <v>18</v>
      </c>
      <c r="H208" t="s">
        <v>18</v>
      </c>
      <c r="I208" t="s">
        <v>771</v>
      </c>
    </row>
    <row r="209" spans="1:9" ht="11.25" customHeight="1">
      <c r="A209" t="s">
        <v>2215</v>
      </c>
      <c r="B209" t="s">
        <v>14</v>
      </c>
      <c r="C209" t="s">
        <v>2368</v>
      </c>
      <c r="D209" t="s">
        <v>2369</v>
      </c>
      <c r="E209" t="s">
        <v>2370</v>
      </c>
      <c r="F209" t="s">
        <v>2227</v>
      </c>
      <c r="G209" t="s">
        <v>2371</v>
      </c>
      <c r="H209" t="s">
        <v>2372</v>
      </c>
      <c r="I209" t="s">
        <v>771</v>
      </c>
    </row>
    <row r="210" spans="1:9" ht="11.25" customHeight="1">
      <c r="A210" t="s">
        <v>2215</v>
      </c>
      <c r="B210" t="s">
        <v>14</v>
      </c>
      <c r="C210" t="s">
        <v>2373</v>
      </c>
      <c r="D210" t="s">
        <v>2374</v>
      </c>
      <c r="E210" t="s">
        <v>2375</v>
      </c>
      <c r="F210" t="s">
        <v>2296</v>
      </c>
      <c r="G210" t="s">
        <v>18</v>
      </c>
      <c r="H210" t="s">
        <v>18</v>
      </c>
      <c r="I210" t="s">
        <v>771</v>
      </c>
    </row>
    <row r="211" spans="1:9" ht="11.25" customHeight="1">
      <c r="A211" t="s">
        <v>2215</v>
      </c>
      <c r="B211" t="s">
        <v>14</v>
      </c>
      <c r="C211" t="s">
        <v>2376</v>
      </c>
      <c r="D211" t="s">
        <v>2377</v>
      </c>
      <c r="E211" t="s">
        <v>2378</v>
      </c>
      <c r="F211" t="s">
        <v>2262</v>
      </c>
      <c r="G211" t="s">
        <v>18</v>
      </c>
      <c r="H211" t="s">
        <v>2379</v>
      </c>
      <c r="I211" t="s">
        <v>771</v>
      </c>
    </row>
    <row r="212" spans="1:9" ht="11.25" customHeight="1">
      <c r="A212" t="s">
        <v>2215</v>
      </c>
      <c r="B212" t="s">
        <v>14</v>
      </c>
      <c r="C212" t="s">
        <v>2380</v>
      </c>
      <c r="D212" t="s">
        <v>2381</v>
      </c>
      <c r="E212" t="s">
        <v>2382</v>
      </c>
      <c r="F212" t="s">
        <v>2296</v>
      </c>
      <c r="G212" t="s">
        <v>2383</v>
      </c>
      <c r="H212" t="s">
        <v>18</v>
      </c>
      <c r="I212" t="s">
        <v>771</v>
      </c>
    </row>
    <row r="213" spans="1:9" ht="11.25" customHeight="1">
      <c r="A213" t="s">
        <v>2215</v>
      </c>
      <c r="B213" t="s">
        <v>14</v>
      </c>
      <c r="C213" t="s">
        <v>2704</v>
      </c>
      <c r="D213" t="s">
        <v>2705</v>
      </c>
      <c r="E213" t="s">
        <v>2706</v>
      </c>
      <c r="F213" t="s">
        <v>2456</v>
      </c>
      <c r="G213" t="s">
        <v>2707</v>
      </c>
      <c r="H213" t="s">
        <v>18</v>
      </c>
      <c r="I213" t="s">
        <v>771</v>
      </c>
    </row>
    <row r="214" spans="1:9" ht="11.25" customHeight="1">
      <c r="A214" t="s">
        <v>2215</v>
      </c>
      <c r="B214" t="s">
        <v>14</v>
      </c>
      <c r="C214" t="s">
        <v>2708</v>
      </c>
      <c r="D214" t="s">
        <v>2709</v>
      </c>
      <c r="E214" t="s">
        <v>2710</v>
      </c>
      <c r="F214" t="s">
        <v>2308</v>
      </c>
      <c r="G214" t="s">
        <v>18</v>
      </c>
      <c r="H214" t="s">
        <v>18</v>
      </c>
      <c r="I214" t="s">
        <v>771</v>
      </c>
    </row>
    <row r="215" spans="1:9" ht="11.25" customHeight="1">
      <c r="A215" t="s">
        <v>2215</v>
      </c>
      <c r="B215" t="s">
        <v>14</v>
      </c>
      <c r="C215" t="s">
        <v>2711</v>
      </c>
      <c r="D215" t="s">
        <v>2712</v>
      </c>
      <c r="E215" t="s">
        <v>2713</v>
      </c>
      <c r="F215" t="s">
        <v>2296</v>
      </c>
      <c r="G215" t="s">
        <v>18</v>
      </c>
      <c r="H215" t="s">
        <v>2714</v>
      </c>
      <c r="I215" t="s">
        <v>771</v>
      </c>
    </row>
    <row r="216" spans="1:9" ht="11.25" customHeight="1">
      <c r="A216" t="s">
        <v>2215</v>
      </c>
      <c r="B216" t="s">
        <v>14</v>
      </c>
      <c r="C216" t="s">
        <v>2388</v>
      </c>
      <c r="D216" t="s">
        <v>2389</v>
      </c>
      <c r="E216" t="s">
        <v>2390</v>
      </c>
      <c r="F216" t="s">
        <v>2227</v>
      </c>
      <c r="G216" t="s">
        <v>18</v>
      </c>
      <c r="H216" t="s">
        <v>2391</v>
      </c>
      <c r="I216" t="s">
        <v>771</v>
      </c>
    </row>
    <row r="217" spans="1:9" ht="11.25" customHeight="1">
      <c r="A217" t="s">
        <v>2215</v>
      </c>
      <c r="B217" t="s">
        <v>14</v>
      </c>
      <c r="C217" t="s">
        <v>2392</v>
      </c>
      <c r="D217" t="s">
        <v>2393</v>
      </c>
      <c r="E217" t="s">
        <v>2394</v>
      </c>
      <c r="F217" t="s">
        <v>2227</v>
      </c>
      <c r="G217" t="s">
        <v>18</v>
      </c>
      <c r="H217" t="s">
        <v>2395</v>
      </c>
      <c r="I217" t="s">
        <v>771</v>
      </c>
    </row>
    <row r="218" spans="1:9" ht="11.25" customHeight="1">
      <c r="A218" t="s">
        <v>2215</v>
      </c>
      <c r="B218" t="s">
        <v>14</v>
      </c>
      <c r="C218" t="s">
        <v>2715</v>
      </c>
      <c r="D218" t="s">
        <v>2716</v>
      </c>
      <c r="E218" t="s">
        <v>2717</v>
      </c>
      <c r="F218" t="s">
        <v>2227</v>
      </c>
      <c r="G218" t="s">
        <v>18</v>
      </c>
      <c r="H218" t="s">
        <v>2718</v>
      </c>
      <c r="I218" t="s">
        <v>771</v>
      </c>
    </row>
    <row r="219" spans="1:9" ht="11.25" customHeight="1">
      <c r="A219" t="s">
        <v>2215</v>
      </c>
      <c r="B219" t="s">
        <v>14</v>
      </c>
      <c r="C219" t="s">
        <v>2399</v>
      </c>
      <c r="D219" t="s">
        <v>2400</v>
      </c>
      <c r="E219" t="s">
        <v>2401</v>
      </c>
      <c r="F219" t="s">
        <v>2227</v>
      </c>
      <c r="G219" t="s">
        <v>18</v>
      </c>
      <c r="H219" t="s">
        <v>18</v>
      </c>
      <c r="I219" t="s">
        <v>771</v>
      </c>
    </row>
    <row r="220" spans="1:9" ht="11.25" customHeight="1">
      <c r="A220" t="s">
        <v>2215</v>
      </c>
      <c r="B220" t="s">
        <v>14</v>
      </c>
      <c r="C220" t="s">
        <v>2719</v>
      </c>
      <c r="D220" t="s">
        <v>2720</v>
      </c>
      <c r="E220" t="s">
        <v>2721</v>
      </c>
      <c r="F220" t="s">
        <v>2308</v>
      </c>
      <c r="G220" t="s">
        <v>18</v>
      </c>
      <c r="H220" t="s">
        <v>2722</v>
      </c>
      <c r="I220" t="s">
        <v>771</v>
      </c>
    </row>
    <row r="221" spans="1:9" ht="11.25" customHeight="1">
      <c r="A221" t="s">
        <v>2215</v>
      </c>
      <c r="B221" t="s">
        <v>14</v>
      </c>
      <c r="C221" t="s">
        <v>2402</v>
      </c>
      <c r="D221" t="s">
        <v>2403</v>
      </c>
      <c r="E221" t="s">
        <v>2404</v>
      </c>
      <c r="F221" t="s">
        <v>2296</v>
      </c>
      <c r="G221" t="s">
        <v>18</v>
      </c>
      <c r="H221" t="s">
        <v>2405</v>
      </c>
      <c r="I221" t="s">
        <v>771</v>
      </c>
    </row>
    <row r="222" spans="1:9" ht="11.25" customHeight="1">
      <c r="A222" t="s">
        <v>2215</v>
      </c>
      <c r="B222" t="s">
        <v>14</v>
      </c>
      <c r="C222" t="s">
        <v>2409</v>
      </c>
      <c r="D222" t="s">
        <v>2410</v>
      </c>
      <c r="E222" t="s">
        <v>2411</v>
      </c>
      <c r="F222" t="s">
        <v>2412</v>
      </c>
      <c r="G222" t="s">
        <v>18</v>
      </c>
      <c r="H222" t="s">
        <v>18</v>
      </c>
      <c r="I222" t="s">
        <v>771</v>
      </c>
    </row>
    <row r="223" spans="1:9" ht="11.25" customHeight="1">
      <c r="A223" t="s">
        <v>2215</v>
      </c>
      <c r="B223" t="s">
        <v>14</v>
      </c>
      <c r="C223" t="s">
        <v>2421</v>
      </c>
      <c r="D223" t="s">
        <v>2422</v>
      </c>
      <c r="E223" t="s">
        <v>2423</v>
      </c>
      <c r="F223" t="s">
        <v>2296</v>
      </c>
      <c r="G223" t="s">
        <v>2424</v>
      </c>
      <c r="H223" t="s">
        <v>18</v>
      </c>
      <c r="I223" t="s">
        <v>771</v>
      </c>
    </row>
    <row r="224" spans="1:9" ht="11.25" customHeight="1">
      <c r="A224" t="s">
        <v>2215</v>
      </c>
      <c r="B224" t="s">
        <v>14</v>
      </c>
      <c r="C224" t="s">
        <v>2425</v>
      </c>
      <c r="D224" t="s">
        <v>2426</v>
      </c>
      <c r="E224" t="s">
        <v>2427</v>
      </c>
      <c r="F224" t="s">
        <v>2296</v>
      </c>
      <c r="G224" t="s">
        <v>18</v>
      </c>
      <c r="H224" t="s">
        <v>2428</v>
      </c>
      <c r="I224" t="s">
        <v>771</v>
      </c>
    </row>
    <row r="225" spans="1:9" ht="11.25" customHeight="1">
      <c r="A225" t="s">
        <v>2215</v>
      </c>
      <c r="B225" t="s">
        <v>14</v>
      </c>
      <c r="C225" t="s">
        <v>2441</v>
      </c>
      <c r="D225" t="s">
        <v>2442</v>
      </c>
      <c r="E225" t="s">
        <v>2443</v>
      </c>
      <c r="F225" t="s">
        <v>2227</v>
      </c>
      <c r="G225" t="s">
        <v>18</v>
      </c>
      <c r="H225" t="s">
        <v>18</v>
      </c>
      <c r="I225" t="s">
        <v>771</v>
      </c>
    </row>
    <row r="226" spans="1:9" ht="11.25" customHeight="1">
      <c r="A226" t="s">
        <v>2215</v>
      </c>
      <c r="B226" t="s">
        <v>14</v>
      </c>
      <c r="C226" t="s">
        <v>2444</v>
      </c>
      <c r="D226" t="s">
        <v>2445</v>
      </c>
      <c r="E226" t="s">
        <v>2446</v>
      </c>
      <c r="F226" t="s">
        <v>2412</v>
      </c>
      <c r="G226" t="s">
        <v>2447</v>
      </c>
      <c r="H226" t="s">
        <v>2448</v>
      </c>
      <c r="I226" t="s">
        <v>771</v>
      </c>
    </row>
    <row r="227" spans="1:9" ht="11.25" customHeight="1">
      <c r="A227" t="s">
        <v>2215</v>
      </c>
      <c r="B227" t="s">
        <v>14</v>
      </c>
      <c r="C227" t="s">
        <v>2449</v>
      </c>
      <c r="D227" t="s">
        <v>2450</v>
      </c>
      <c r="E227" t="s">
        <v>2451</v>
      </c>
      <c r="F227" t="s">
        <v>2227</v>
      </c>
      <c r="G227" t="s">
        <v>18</v>
      </c>
      <c r="H227" t="s">
        <v>2452</v>
      </c>
      <c r="I227" t="s">
        <v>771</v>
      </c>
    </row>
    <row r="228" spans="1:9" ht="11.25" customHeight="1">
      <c r="A228" t="s">
        <v>2215</v>
      </c>
      <c r="B228" t="s">
        <v>14</v>
      </c>
      <c r="C228" t="s">
        <v>2723</v>
      </c>
      <c r="D228" t="s">
        <v>2724</v>
      </c>
      <c r="E228" t="s">
        <v>2725</v>
      </c>
      <c r="F228" t="s">
        <v>2699</v>
      </c>
      <c r="G228" t="s">
        <v>18</v>
      </c>
      <c r="H228" t="s">
        <v>2726</v>
      </c>
      <c r="I228" t="s">
        <v>771</v>
      </c>
    </row>
    <row r="229" spans="1:9" ht="11.25" customHeight="1">
      <c r="A229" t="s">
        <v>2215</v>
      </c>
      <c r="B229" t="s">
        <v>14</v>
      </c>
      <c r="C229" t="s">
        <v>2727</v>
      </c>
      <c r="D229" t="s">
        <v>2728</v>
      </c>
      <c r="E229" t="s">
        <v>2729</v>
      </c>
      <c r="F229" t="s">
        <v>2231</v>
      </c>
      <c r="G229" t="s">
        <v>2730</v>
      </c>
      <c r="H229" t="s">
        <v>18</v>
      </c>
      <c r="I229" t="s">
        <v>771</v>
      </c>
    </row>
    <row r="230" spans="1:9" ht="11.25" customHeight="1">
      <c r="A230" t="s">
        <v>2215</v>
      </c>
      <c r="B230" t="s">
        <v>14</v>
      </c>
      <c r="C230" t="s">
        <v>2731</v>
      </c>
      <c r="D230" t="s">
        <v>2732</v>
      </c>
      <c r="E230" t="s">
        <v>2733</v>
      </c>
      <c r="F230" t="s">
        <v>2231</v>
      </c>
      <c r="G230" t="s">
        <v>2734</v>
      </c>
      <c r="H230" t="s">
        <v>2475</v>
      </c>
      <c r="I230" t="s">
        <v>771</v>
      </c>
    </row>
    <row r="231" spans="1:9" ht="11.25" customHeight="1">
      <c r="A231" t="s">
        <v>2215</v>
      </c>
      <c r="B231" t="s">
        <v>14</v>
      </c>
      <c r="C231" t="s">
        <v>2462</v>
      </c>
      <c r="D231" t="s">
        <v>2463</v>
      </c>
      <c r="E231" t="s">
        <v>2464</v>
      </c>
      <c r="F231" t="s">
        <v>2465</v>
      </c>
      <c r="G231" t="s">
        <v>2466</v>
      </c>
      <c r="H231" t="s">
        <v>2467</v>
      </c>
      <c r="I231" t="s">
        <v>771</v>
      </c>
    </row>
    <row r="232" spans="1:9" ht="11.25" customHeight="1">
      <c r="A232" t="s">
        <v>2215</v>
      </c>
      <c r="B232" t="s">
        <v>14</v>
      </c>
      <c r="C232" t="s">
        <v>2468</v>
      </c>
      <c r="D232" t="s">
        <v>2469</v>
      </c>
      <c r="E232" t="s">
        <v>2464</v>
      </c>
      <c r="F232" t="s">
        <v>2470</v>
      </c>
      <c r="G232" t="s">
        <v>2467</v>
      </c>
      <c r="H232" t="s">
        <v>18</v>
      </c>
      <c r="I232" t="s">
        <v>771</v>
      </c>
    </row>
    <row r="233" spans="1:9" ht="11.25" customHeight="1">
      <c r="A233" t="s">
        <v>2215</v>
      </c>
      <c r="B233" t="s">
        <v>14</v>
      </c>
      <c r="C233" t="s">
        <v>2735</v>
      </c>
      <c r="D233" t="s">
        <v>2736</v>
      </c>
      <c r="E233" t="s">
        <v>2737</v>
      </c>
      <c r="F233" t="s">
        <v>2630</v>
      </c>
      <c r="G233" t="s">
        <v>18</v>
      </c>
      <c r="H233" t="s">
        <v>2738</v>
      </c>
      <c r="I233" t="s">
        <v>771</v>
      </c>
    </row>
    <row r="234" spans="1:9" ht="11.25" customHeight="1">
      <c r="A234" t="s">
        <v>2215</v>
      </c>
      <c r="B234" t="s">
        <v>14</v>
      </c>
      <c r="C234" t="s">
        <v>2471</v>
      </c>
      <c r="D234" t="s">
        <v>2472</v>
      </c>
      <c r="E234" t="s">
        <v>2473</v>
      </c>
      <c r="F234" t="s">
        <v>2412</v>
      </c>
      <c r="G234" t="s">
        <v>2474</v>
      </c>
      <c r="H234" t="s">
        <v>2475</v>
      </c>
      <c r="I234" t="s">
        <v>771</v>
      </c>
    </row>
    <row r="235" spans="1:9" ht="11.25" customHeight="1">
      <c r="A235" t="s">
        <v>2215</v>
      </c>
      <c r="B235" t="s">
        <v>14</v>
      </c>
      <c r="C235" t="s">
        <v>2739</v>
      </c>
      <c r="D235" t="s">
        <v>2740</v>
      </c>
      <c r="E235" t="s">
        <v>2741</v>
      </c>
      <c r="F235" t="s">
        <v>2625</v>
      </c>
      <c r="G235" t="s">
        <v>2742</v>
      </c>
      <c r="H235" t="s">
        <v>18</v>
      </c>
      <c r="I235" t="s">
        <v>771</v>
      </c>
    </row>
    <row r="236" spans="1:9" ht="11.25" customHeight="1">
      <c r="A236" t="s">
        <v>2215</v>
      </c>
      <c r="B236" t="s">
        <v>14</v>
      </c>
      <c r="C236" t="s">
        <v>2476</v>
      </c>
      <c r="D236" t="s">
        <v>2477</v>
      </c>
      <c r="E236" t="s">
        <v>2478</v>
      </c>
      <c r="F236" t="s">
        <v>2479</v>
      </c>
      <c r="G236" t="s">
        <v>18</v>
      </c>
      <c r="H236" t="s">
        <v>18</v>
      </c>
      <c r="I236" t="s">
        <v>771</v>
      </c>
    </row>
    <row r="237" spans="1:9" ht="11.25" customHeight="1">
      <c r="A237" t="s">
        <v>2215</v>
      </c>
      <c r="B237" t="s">
        <v>14</v>
      </c>
      <c r="C237" t="s">
        <v>2743</v>
      </c>
      <c r="D237" t="s">
        <v>2744</v>
      </c>
      <c r="E237" t="s">
        <v>2745</v>
      </c>
      <c r="F237" t="s">
        <v>2332</v>
      </c>
      <c r="G237" t="s">
        <v>2746</v>
      </c>
      <c r="H237" t="s">
        <v>2499</v>
      </c>
      <c r="I237" t="s">
        <v>771</v>
      </c>
    </row>
    <row r="238" spans="1:9" ht="11.25" customHeight="1">
      <c r="A238" t="s">
        <v>2215</v>
      </c>
      <c r="B238" t="s">
        <v>14</v>
      </c>
      <c r="C238" t="s">
        <v>2483</v>
      </c>
      <c r="D238" t="s">
        <v>2484</v>
      </c>
      <c r="E238" t="s">
        <v>2485</v>
      </c>
      <c r="F238" t="s">
        <v>2343</v>
      </c>
      <c r="G238" t="s">
        <v>18</v>
      </c>
      <c r="H238" t="s">
        <v>2486</v>
      </c>
      <c r="I238" t="s">
        <v>771</v>
      </c>
    </row>
    <row r="239" spans="1:9" ht="11.25" customHeight="1">
      <c r="A239" t="s">
        <v>2215</v>
      </c>
      <c r="B239" t="s">
        <v>14</v>
      </c>
      <c r="C239" t="s">
        <v>2747</v>
      </c>
      <c r="D239" t="s">
        <v>2748</v>
      </c>
      <c r="E239" t="s">
        <v>2749</v>
      </c>
      <c r="F239" t="s">
        <v>2750</v>
      </c>
      <c r="G239" t="s">
        <v>18</v>
      </c>
      <c r="H239" t="s">
        <v>18</v>
      </c>
      <c r="I239" t="s">
        <v>771</v>
      </c>
    </row>
    <row r="240" spans="1:9" ht="11.25" customHeight="1">
      <c r="A240" t="s">
        <v>2215</v>
      </c>
      <c r="B240" t="s">
        <v>14</v>
      </c>
      <c r="C240" t="s">
        <v>2751</v>
      </c>
      <c r="D240" t="s">
        <v>2752</v>
      </c>
      <c r="E240" t="s">
        <v>2753</v>
      </c>
      <c r="F240" t="s">
        <v>2750</v>
      </c>
      <c r="G240" t="s">
        <v>18</v>
      </c>
      <c r="H240" t="s">
        <v>18</v>
      </c>
      <c r="I240" t="s">
        <v>771</v>
      </c>
    </row>
    <row r="241" spans="1:9" ht="11.25" customHeight="1">
      <c r="A241" t="s">
        <v>2215</v>
      </c>
      <c r="B241" t="s">
        <v>14</v>
      </c>
      <c r="C241" t="s">
        <v>2754</v>
      </c>
      <c r="D241" t="s">
        <v>2755</v>
      </c>
      <c r="E241" t="s">
        <v>2756</v>
      </c>
      <c r="F241" t="s">
        <v>2750</v>
      </c>
      <c r="G241" t="s">
        <v>18</v>
      </c>
      <c r="H241" t="s">
        <v>2757</v>
      </c>
      <c r="I241" t="s">
        <v>771</v>
      </c>
    </row>
    <row r="242" spans="1:9" ht="11.25" customHeight="1">
      <c r="A242" t="s">
        <v>2215</v>
      </c>
      <c r="B242" t="s">
        <v>14</v>
      </c>
      <c r="C242" t="s">
        <v>2758</v>
      </c>
      <c r="D242" t="s">
        <v>2759</v>
      </c>
      <c r="E242" t="s">
        <v>2760</v>
      </c>
      <c r="F242" t="s">
        <v>2625</v>
      </c>
      <c r="G242" t="s">
        <v>2761</v>
      </c>
      <c r="H242" t="s">
        <v>18</v>
      </c>
      <c r="I242" t="s">
        <v>771</v>
      </c>
    </row>
    <row r="243" spans="1:9" ht="11.25" customHeight="1">
      <c r="A243" t="s">
        <v>2215</v>
      </c>
      <c r="B243" t="s">
        <v>14</v>
      </c>
      <c r="C243" t="s">
        <v>2762</v>
      </c>
      <c r="D243" t="s">
        <v>2763</v>
      </c>
      <c r="E243" t="s">
        <v>2764</v>
      </c>
      <c r="F243" t="s">
        <v>2231</v>
      </c>
      <c r="G243" t="s">
        <v>18</v>
      </c>
      <c r="H243" t="s">
        <v>2765</v>
      </c>
      <c r="I243" t="s">
        <v>771</v>
      </c>
    </row>
    <row r="244" spans="1:9" ht="11.25" customHeight="1">
      <c r="A244" t="s">
        <v>2215</v>
      </c>
      <c r="B244" t="s">
        <v>14</v>
      </c>
      <c r="C244" t="s">
        <v>2492</v>
      </c>
      <c r="D244" t="s">
        <v>2493</v>
      </c>
      <c r="E244" t="s">
        <v>2494</v>
      </c>
      <c r="F244" t="s">
        <v>2296</v>
      </c>
      <c r="G244" t="s">
        <v>18</v>
      </c>
      <c r="H244" t="s">
        <v>2495</v>
      </c>
      <c r="I244" t="s">
        <v>771</v>
      </c>
    </row>
    <row r="245" spans="1:9" ht="11.25" customHeight="1">
      <c r="A245" t="s">
        <v>2215</v>
      </c>
      <c r="B245" t="s">
        <v>14</v>
      </c>
      <c r="C245" t="s">
        <v>2496</v>
      </c>
      <c r="D245" t="s">
        <v>2497</v>
      </c>
      <c r="E245" t="s">
        <v>2498</v>
      </c>
      <c r="F245" t="s">
        <v>2296</v>
      </c>
      <c r="G245" t="s">
        <v>18</v>
      </c>
      <c r="H245" t="s">
        <v>2499</v>
      </c>
      <c r="I245" t="s">
        <v>771</v>
      </c>
    </row>
    <row r="246" spans="1:9" ht="11.25" customHeight="1">
      <c r="A246" t="s">
        <v>2215</v>
      </c>
      <c r="B246" t="s">
        <v>14</v>
      </c>
      <c r="C246" t="s">
        <v>2766</v>
      </c>
      <c r="D246" t="s">
        <v>2767</v>
      </c>
      <c r="E246" t="s">
        <v>2768</v>
      </c>
      <c r="F246" t="s">
        <v>2231</v>
      </c>
      <c r="G246" t="s">
        <v>18</v>
      </c>
      <c r="H246" t="s">
        <v>2769</v>
      </c>
      <c r="I246" t="s">
        <v>771</v>
      </c>
    </row>
    <row r="247" spans="1:9" ht="11.25" customHeight="1">
      <c r="A247" t="s">
        <v>2215</v>
      </c>
      <c r="B247" t="s">
        <v>14</v>
      </c>
      <c r="C247" t="s">
        <v>2514</v>
      </c>
      <c r="D247" t="s">
        <v>2515</v>
      </c>
      <c r="E247" t="s">
        <v>2516</v>
      </c>
      <c r="F247" t="s">
        <v>2517</v>
      </c>
      <c r="G247" t="s">
        <v>2518</v>
      </c>
      <c r="H247" t="s">
        <v>18</v>
      </c>
      <c r="I247" t="s">
        <v>771</v>
      </c>
    </row>
    <row r="248" spans="1:9" ht="11.25" customHeight="1">
      <c r="A248" t="s">
        <v>2215</v>
      </c>
      <c r="B248" t="s">
        <v>14</v>
      </c>
      <c r="C248" t="s">
        <v>2519</v>
      </c>
      <c r="D248" t="s">
        <v>2520</v>
      </c>
      <c r="E248" t="s">
        <v>2521</v>
      </c>
      <c r="F248" t="s">
        <v>2296</v>
      </c>
      <c r="G248" t="s">
        <v>2522</v>
      </c>
      <c r="H248" t="s">
        <v>2523</v>
      </c>
      <c r="I248" t="s">
        <v>771</v>
      </c>
    </row>
    <row r="249" spans="1:9" ht="11.25" customHeight="1">
      <c r="A249" t="s">
        <v>2215</v>
      </c>
      <c r="B249" t="s">
        <v>14</v>
      </c>
      <c r="C249" t="s">
        <v>2770</v>
      </c>
      <c r="D249" t="s">
        <v>2771</v>
      </c>
      <c r="E249" t="s">
        <v>2772</v>
      </c>
      <c r="F249" t="s">
        <v>2231</v>
      </c>
      <c r="G249" t="s">
        <v>2773</v>
      </c>
      <c r="H249" t="s">
        <v>2523</v>
      </c>
      <c r="I249" t="s">
        <v>771</v>
      </c>
    </row>
    <row r="250" spans="1:9" ht="11.25" customHeight="1">
      <c r="A250" t="s">
        <v>2215</v>
      </c>
      <c r="B250" t="s">
        <v>14</v>
      </c>
      <c r="C250" t="s">
        <v>2774</v>
      </c>
      <c r="D250" t="s">
        <v>2775</v>
      </c>
      <c r="E250" t="s">
        <v>2776</v>
      </c>
      <c r="F250" t="s">
        <v>2456</v>
      </c>
      <c r="G250" t="s">
        <v>18</v>
      </c>
      <c r="H250" t="s">
        <v>18</v>
      </c>
      <c r="I250" t="s">
        <v>771</v>
      </c>
    </row>
    <row r="251" spans="1:9" ht="11.25" customHeight="1">
      <c r="A251" t="s">
        <v>2215</v>
      </c>
      <c r="B251" t="s">
        <v>14</v>
      </c>
      <c r="C251" t="s">
        <v>2777</v>
      </c>
      <c r="D251" t="s">
        <v>2778</v>
      </c>
      <c r="E251" t="s">
        <v>2779</v>
      </c>
      <c r="F251" t="s">
        <v>2565</v>
      </c>
      <c r="G251" t="s">
        <v>2780</v>
      </c>
      <c r="H251" t="s">
        <v>18</v>
      </c>
      <c r="I251" t="s">
        <v>771</v>
      </c>
    </row>
    <row r="252" spans="1:9" ht="11.25" customHeight="1">
      <c r="A252" t="s">
        <v>2215</v>
      </c>
      <c r="B252" t="s">
        <v>14</v>
      </c>
      <c r="C252" t="s">
        <v>2781</v>
      </c>
      <c r="D252" t="s">
        <v>2782</v>
      </c>
      <c r="E252" t="s">
        <v>2783</v>
      </c>
      <c r="F252" t="s">
        <v>2231</v>
      </c>
      <c r="G252" t="s">
        <v>2784</v>
      </c>
      <c r="H252" t="s">
        <v>2785</v>
      </c>
      <c r="I252" t="s">
        <v>771</v>
      </c>
    </row>
    <row r="253" spans="1:9" ht="11.25" customHeight="1">
      <c r="A253" t="s">
        <v>2215</v>
      </c>
      <c r="B253" t="s">
        <v>14</v>
      </c>
      <c r="C253" t="s">
        <v>2534</v>
      </c>
      <c r="D253" t="s">
        <v>2535</v>
      </c>
      <c r="E253" t="s">
        <v>2536</v>
      </c>
      <c r="F253" t="s">
        <v>2412</v>
      </c>
      <c r="G253" t="s">
        <v>18</v>
      </c>
      <c r="H253" t="s">
        <v>2537</v>
      </c>
      <c r="I253" t="s">
        <v>771</v>
      </c>
    </row>
    <row r="254" spans="1:9" ht="11.25" customHeight="1">
      <c r="A254" t="s">
        <v>2215</v>
      </c>
      <c r="B254" t="s">
        <v>14</v>
      </c>
      <c r="C254" t="s">
        <v>2543</v>
      </c>
      <c r="D254" t="s">
        <v>2544</v>
      </c>
      <c r="E254" t="s">
        <v>2545</v>
      </c>
      <c r="F254" t="s">
        <v>2343</v>
      </c>
      <c r="G254" t="s">
        <v>2546</v>
      </c>
      <c r="H254" t="s">
        <v>18</v>
      </c>
      <c r="I254" t="s">
        <v>771</v>
      </c>
    </row>
    <row r="255" spans="1:9" ht="11.25" customHeight="1">
      <c r="A255" t="s">
        <v>2215</v>
      </c>
      <c r="B255" t="s">
        <v>14</v>
      </c>
      <c r="C255" t="s">
        <v>2558</v>
      </c>
      <c r="D255" t="s">
        <v>2559</v>
      </c>
      <c r="E255" t="s">
        <v>2560</v>
      </c>
      <c r="F255" t="s">
        <v>2332</v>
      </c>
      <c r="G255" t="s">
        <v>18</v>
      </c>
      <c r="H255" t="s">
        <v>2561</v>
      </c>
      <c r="I255" t="s">
        <v>771</v>
      </c>
    </row>
    <row r="256" spans="1:9" ht="11.25" customHeight="1">
      <c r="A256" t="s">
        <v>2215</v>
      </c>
      <c r="B256" t="s">
        <v>14</v>
      </c>
      <c r="C256" t="s">
        <v>2566</v>
      </c>
      <c r="D256" t="s">
        <v>2567</v>
      </c>
      <c r="E256" t="s">
        <v>2568</v>
      </c>
      <c r="F256" t="s">
        <v>2227</v>
      </c>
      <c r="G256" t="s">
        <v>18</v>
      </c>
      <c r="H256" t="s">
        <v>2499</v>
      </c>
      <c r="I256" t="s">
        <v>771</v>
      </c>
    </row>
    <row r="257" spans="1:9" ht="11.25" customHeight="1">
      <c r="A257" t="s">
        <v>2215</v>
      </c>
      <c r="B257" t="s">
        <v>14</v>
      </c>
      <c r="C257" t="s">
        <v>2569</v>
      </c>
      <c r="D257" t="s">
        <v>2570</v>
      </c>
      <c r="E257" t="s">
        <v>2571</v>
      </c>
      <c r="F257" t="s">
        <v>2296</v>
      </c>
      <c r="G257" t="s">
        <v>2572</v>
      </c>
      <c r="H257" t="s">
        <v>2573</v>
      </c>
      <c r="I257" t="s">
        <v>771</v>
      </c>
    </row>
    <row r="258" spans="1:9" ht="11.25" customHeight="1">
      <c r="A258" t="s">
        <v>2215</v>
      </c>
      <c r="B258" t="s">
        <v>14</v>
      </c>
      <c r="C258" t="s">
        <v>2786</v>
      </c>
      <c r="D258" t="s">
        <v>2787</v>
      </c>
      <c r="E258" t="s">
        <v>2788</v>
      </c>
      <c r="F258" t="s">
        <v>2750</v>
      </c>
      <c r="G258" t="s">
        <v>18</v>
      </c>
      <c r="H258" t="s">
        <v>2757</v>
      </c>
      <c r="I258" t="s">
        <v>771</v>
      </c>
    </row>
    <row r="259" spans="1:9" ht="11.25" customHeight="1">
      <c r="A259" t="s">
        <v>2215</v>
      </c>
      <c r="B259" t="s">
        <v>14</v>
      </c>
      <c r="C259" t="s">
        <v>2789</v>
      </c>
      <c r="D259" t="s">
        <v>2790</v>
      </c>
      <c r="E259" t="s">
        <v>2791</v>
      </c>
      <c r="F259" t="s">
        <v>2227</v>
      </c>
      <c r="G259" t="s">
        <v>18</v>
      </c>
      <c r="H259" t="s">
        <v>18</v>
      </c>
      <c r="I259" t="s">
        <v>771</v>
      </c>
    </row>
    <row r="260" spans="1:9" ht="11.25" customHeight="1">
      <c r="A260" t="s">
        <v>2215</v>
      </c>
      <c r="B260" t="s">
        <v>14</v>
      </c>
      <c r="C260" t="s">
        <v>2588</v>
      </c>
      <c r="D260" t="s">
        <v>2589</v>
      </c>
      <c r="E260" t="s">
        <v>2590</v>
      </c>
      <c r="F260" t="s">
        <v>2227</v>
      </c>
      <c r="G260" t="s">
        <v>2591</v>
      </c>
      <c r="H260" t="s">
        <v>2592</v>
      </c>
      <c r="I260" t="s">
        <v>771</v>
      </c>
    </row>
    <row r="261" spans="1:9" ht="11.25" customHeight="1">
      <c r="A261" t="s">
        <v>2215</v>
      </c>
      <c r="B261" t="s">
        <v>14</v>
      </c>
      <c r="C261" t="s">
        <v>2792</v>
      </c>
      <c r="D261" t="s">
        <v>2793</v>
      </c>
      <c r="E261" t="s">
        <v>2794</v>
      </c>
      <c r="F261" t="s">
        <v>2296</v>
      </c>
      <c r="G261" t="s">
        <v>18</v>
      </c>
      <c r="H261" t="s">
        <v>2499</v>
      </c>
      <c r="I261" t="s">
        <v>771</v>
      </c>
    </row>
    <row r="262" spans="1:9" ht="11.25" customHeight="1">
      <c r="A262" t="s">
        <v>2215</v>
      </c>
      <c r="B262" t="s">
        <v>14</v>
      </c>
      <c r="C262" t="s">
        <v>2593</v>
      </c>
      <c r="D262" t="s">
        <v>2594</v>
      </c>
      <c r="E262" t="s">
        <v>2595</v>
      </c>
      <c r="F262" t="s">
        <v>2596</v>
      </c>
      <c r="G262" t="s">
        <v>2597</v>
      </c>
      <c r="H262" t="s">
        <v>18</v>
      </c>
      <c r="I262" t="s">
        <v>771</v>
      </c>
    </row>
    <row r="263" spans="1:9" ht="11.25" customHeight="1">
      <c r="A263" t="s">
        <v>2215</v>
      </c>
      <c r="B263" t="s">
        <v>14</v>
      </c>
      <c r="C263" t="s">
        <v>2598</v>
      </c>
      <c r="D263" t="s">
        <v>2599</v>
      </c>
      <c r="E263" t="s">
        <v>2464</v>
      </c>
      <c r="F263" t="s">
        <v>2600</v>
      </c>
      <c r="G263" t="s">
        <v>18</v>
      </c>
      <c r="H263" t="s">
        <v>18</v>
      </c>
      <c r="I263" t="s">
        <v>771</v>
      </c>
    </row>
    <row r="264" spans="1:9" ht="11.25" customHeight="1">
      <c r="A264" t="s">
        <v>2215</v>
      </c>
      <c r="B264" t="s">
        <v>14</v>
      </c>
      <c r="C264" t="s">
        <v>2795</v>
      </c>
      <c r="D264" t="s">
        <v>2796</v>
      </c>
      <c r="E264" t="s">
        <v>2797</v>
      </c>
      <c r="F264" t="s">
        <v>2308</v>
      </c>
      <c r="G264" t="s">
        <v>18</v>
      </c>
      <c r="H264" t="s">
        <v>2499</v>
      </c>
      <c r="I264" t="s">
        <v>771</v>
      </c>
    </row>
    <row r="265" spans="1:9" ht="11.25" customHeight="1">
      <c r="A265" t="s">
        <v>2215</v>
      </c>
      <c r="B265" t="s">
        <v>14</v>
      </c>
      <c r="C265" t="s">
        <v>2609</v>
      </c>
      <c r="D265" t="s">
        <v>2610</v>
      </c>
      <c r="E265" t="s">
        <v>2595</v>
      </c>
      <c r="F265" t="s">
        <v>2611</v>
      </c>
      <c r="G265" t="s">
        <v>2612</v>
      </c>
      <c r="H265" t="s">
        <v>18</v>
      </c>
      <c r="I265" t="s">
        <v>771</v>
      </c>
    </row>
    <row r="266" spans="1:9" ht="11.25" customHeight="1">
      <c r="A266" t="s">
        <v>2215</v>
      </c>
      <c r="B266" t="s">
        <v>14</v>
      </c>
      <c r="C266" t="s">
        <v>2613</v>
      </c>
      <c r="D266" t="s">
        <v>2614</v>
      </c>
      <c r="E266" t="s">
        <v>2615</v>
      </c>
      <c r="F266" t="s">
        <v>2227</v>
      </c>
      <c r="G266" t="s">
        <v>2616</v>
      </c>
      <c r="H266" t="s">
        <v>2617</v>
      </c>
      <c r="I266" t="s">
        <v>771</v>
      </c>
    </row>
    <row r="267" spans="1:9" ht="11.25" customHeight="1">
      <c r="A267" t="s">
        <v>2215</v>
      </c>
      <c r="B267" t="s">
        <v>14</v>
      </c>
      <c r="C267" t="s">
        <v>2618</v>
      </c>
      <c r="D267" t="s">
        <v>2619</v>
      </c>
      <c r="E267" t="s">
        <v>2620</v>
      </c>
      <c r="F267" t="s">
        <v>2621</v>
      </c>
      <c r="G267" t="s">
        <v>18</v>
      </c>
      <c r="H267" t="s">
        <v>18</v>
      </c>
      <c r="I267" t="s">
        <v>771</v>
      </c>
    </row>
    <row r="268" spans="1:9" ht="11.25" customHeight="1">
      <c r="A268" t="s">
        <v>2215</v>
      </c>
      <c r="B268" t="s">
        <v>14</v>
      </c>
      <c r="C268" t="s">
        <v>2632</v>
      </c>
      <c r="D268" t="s">
        <v>2633</v>
      </c>
      <c r="E268" t="s">
        <v>2634</v>
      </c>
      <c r="F268" t="s">
        <v>2630</v>
      </c>
      <c r="G268" t="s">
        <v>18</v>
      </c>
      <c r="H268" t="s">
        <v>18</v>
      </c>
      <c r="I268" t="s">
        <v>771</v>
      </c>
    </row>
    <row r="269" spans="1:9" ht="11.25" customHeight="1">
      <c r="A269" t="s">
        <v>2215</v>
      </c>
      <c r="B269" t="s">
        <v>14</v>
      </c>
      <c r="C269" t="s">
        <v>2638</v>
      </c>
      <c r="D269" t="s">
        <v>2639</v>
      </c>
      <c r="E269" t="s">
        <v>2640</v>
      </c>
      <c r="F269" t="s">
        <v>2479</v>
      </c>
      <c r="G269" t="s">
        <v>18</v>
      </c>
      <c r="H269" t="s">
        <v>18</v>
      </c>
      <c r="I269" t="s">
        <v>771</v>
      </c>
    </row>
    <row r="270" spans="1:9" ht="11.25" customHeight="1">
      <c r="A270" t="s">
        <v>2215</v>
      </c>
      <c r="B270" t="s">
        <v>14</v>
      </c>
      <c r="C270" t="s">
        <v>2798</v>
      </c>
      <c r="D270" t="s">
        <v>2799</v>
      </c>
      <c r="E270" t="s">
        <v>2800</v>
      </c>
      <c r="F270" t="s">
        <v>2621</v>
      </c>
      <c r="G270" t="s">
        <v>2801</v>
      </c>
      <c r="H270" t="s">
        <v>18</v>
      </c>
      <c r="I270" t="s">
        <v>826</v>
      </c>
    </row>
    <row r="271" spans="1:9" ht="11.25" customHeight="1">
      <c r="A271" t="s">
        <v>2215</v>
      </c>
      <c r="B271" t="s">
        <v>14</v>
      </c>
      <c r="C271" t="s">
        <v>2221</v>
      </c>
      <c r="D271" t="s">
        <v>2217</v>
      </c>
      <c r="E271" t="s">
        <v>2218</v>
      </c>
      <c r="F271" t="s">
        <v>2222</v>
      </c>
      <c r="G271" t="s">
        <v>2223</v>
      </c>
      <c r="H271" t="s">
        <v>18</v>
      </c>
      <c r="I271" t="s">
        <v>826</v>
      </c>
    </row>
    <row r="272" spans="1:9" ht="11.25" customHeight="1">
      <c r="A272" t="s">
        <v>2215</v>
      </c>
      <c r="B272" t="s">
        <v>14</v>
      </c>
      <c r="C272" t="s">
        <v>2651</v>
      </c>
      <c r="D272" t="s">
        <v>2652</v>
      </c>
      <c r="E272" t="s">
        <v>2653</v>
      </c>
      <c r="F272" t="s">
        <v>2281</v>
      </c>
      <c r="G272" t="s">
        <v>2654</v>
      </c>
      <c r="H272" t="s">
        <v>18</v>
      </c>
      <c r="I272" t="s">
        <v>826</v>
      </c>
    </row>
    <row r="273" spans="1:9" ht="11.25" customHeight="1">
      <c r="A273" t="s">
        <v>2215</v>
      </c>
      <c r="B273" t="s">
        <v>14</v>
      </c>
      <c r="C273" t="s">
        <v>2655</v>
      </c>
      <c r="D273" t="s">
        <v>2656</v>
      </c>
      <c r="E273" t="s">
        <v>2657</v>
      </c>
      <c r="F273" t="s">
        <v>46</v>
      </c>
      <c r="G273" t="s">
        <v>2658</v>
      </c>
      <c r="H273" t="s">
        <v>2499</v>
      </c>
      <c r="I273" t="s">
        <v>826</v>
      </c>
    </row>
    <row r="274" spans="1:9" ht="11.25" customHeight="1">
      <c r="A274" t="s">
        <v>2215</v>
      </c>
      <c r="B274" t="s">
        <v>14</v>
      </c>
      <c r="C274" t="s">
        <v>2224</v>
      </c>
      <c r="D274" t="s">
        <v>2225</v>
      </c>
      <c r="E274" t="s">
        <v>2226</v>
      </c>
      <c r="F274" t="s">
        <v>2227</v>
      </c>
      <c r="G274" t="s">
        <v>18</v>
      </c>
      <c r="H274" t="s">
        <v>18</v>
      </c>
      <c r="I274" t="s">
        <v>826</v>
      </c>
    </row>
    <row r="275" spans="1:9" ht="11.25" customHeight="1">
      <c r="A275" t="s">
        <v>2215</v>
      </c>
      <c r="B275" t="s">
        <v>14</v>
      </c>
      <c r="C275" t="s">
        <v>2659</v>
      </c>
      <c r="D275" t="s">
        <v>2660</v>
      </c>
      <c r="E275" t="s">
        <v>2661</v>
      </c>
      <c r="F275" t="s">
        <v>2227</v>
      </c>
      <c r="G275" t="s">
        <v>2662</v>
      </c>
      <c r="H275" t="s">
        <v>18</v>
      </c>
      <c r="I275" t="s">
        <v>826</v>
      </c>
    </row>
    <row r="276" spans="1:9" ht="11.25" customHeight="1">
      <c r="A276" t="s">
        <v>2215</v>
      </c>
      <c r="B276" t="s">
        <v>14</v>
      </c>
      <c r="C276" t="s">
        <v>2237</v>
      </c>
      <c r="D276" t="s">
        <v>2238</v>
      </c>
      <c r="E276" t="s">
        <v>2239</v>
      </c>
      <c r="F276" t="s">
        <v>2236</v>
      </c>
      <c r="G276" t="s">
        <v>2240</v>
      </c>
      <c r="H276" t="s">
        <v>18</v>
      </c>
      <c r="I276" t="s">
        <v>826</v>
      </c>
    </row>
    <row r="277" spans="1:9" ht="11.25" customHeight="1">
      <c r="A277" t="s">
        <v>2215</v>
      </c>
      <c r="B277" t="s">
        <v>14</v>
      </c>
      <c r="C277" t="s">
        <v>2663</v>
      </c>
      <c r="D277" t="s">
        <v>2664</v>
      </c>
      <c r="E277" t="s">
        <v>2665</v>
      </c>
      <c r="F277" t="s">
        <v>2244</v>
      </c>
      <c r="G277" t="s">
        <v>2666</v>
      </c>
      <c r="H277" t="s">
        <v>18</v>
      </c>
      <c r="I277" t="s">
        <v>826</v>
      </c>
    </row>
    <row r="278" spans="1:9" ht="11.25" customHeight="1">
      <c r="A278" t="s">
        <v>2215</v>
      </c>
      <c r="B278" t="s">
        <v>14</v>
      </c>
      <c r="C278" t="s">
        <v>2248</v>
      </c>
      <c r="D278" t="s">
        <v>2249</v>
      </c>
      <c r="E278" t="s">
        <v>2250</v>
      </c>
      <c r="F278" t="s">
        <v>2231</v>
      </c>
      <c r="G278" t="s">
        <v>2251</v>
      </c>
      <c r="H278" t="s">
        <v>18</v>
      </c>
      <c r="I278" t="s">
        <v>826</v>
      </c>
    </row>
    <row r="279" spans="1:9" ht="11.25" customHeight="1">
      <c r="A279" t="s">
        <v>2215</v>
      </c>
      <c r="B279" t="s">
        <v>14</v>
      </c>
      <c r="C279" t="s">
        <v>2259</v>
      </c>
      <c r="D279" t="s">
        <v>2260</v>
      </c>
      <c r="E279" t="s">
        <v>2261</v>
      </c>
      <c r="F279" t="s">
        <v>2262</v>
      </c>
      <c r="G279" t="s">
        <v>2263</v>
      </c>
      <c r="H279" t="s">
        <v>18</v>
      </c>
      <c r="I279" t="s">
        <v>826</v>
      </c>
    </row>
    <row r="280" spans="1:9" ht="11.25" customHeight="1">
      <c r="A280" t="s">
        <v>2215</v>
      </c>
      <c r="B280" t="s">
        <v>14</v>
      </c>
      <c r="C280" t="s">
        <v>2667</v>
      </c>
      <c r="D280" t="s">
        <v>2668</v>
      </c>
      <c r="E280" t="s">
        <v>2272</v>
      </c>
      <c r="F280" t="s">
        <v>2630</v>
      </c>
      <c r="G280" t="s">
        <v>2669</v>
      </c>
      <c r="H280" t="s">
        <v>18</v>
      </c>
      <c r="I280" t="s">
        <v>826</v>
      </c>
    </row>
    <row r="281" spans="1:9" ht="11.25" customHeight="1">
      <c r="A281" t="s">
        <v>2215</v>
      </c>
      <c r="B281" t="s">
        <v>14</v>
      </c>
      <c r="C281" t="s">
        <v>2274</v>
      </c>
      <c r="D281" t="s">
        <v>2275</v>
      </c>
      <c r="E281" t="s">
        <v>2276</v>
      </c>
      <c r="F281" t="s">
        <v>2231</v>
      </c>
      <c r="G281" t="s">
        <v>2277</v>
      </c>
      <c r="H281" t="s">
        <v>18</v>
      </c>
      <c r="I281" t="s">
        <v>826</v>
      </c>
    </row>
    <row r="282" spans="1:9" ht="11.25" customHeight="1">
      <c r="A282" t="s">
        <v>2215</v>
      </c>
      <c r="B282" t="s">
        <v>14</v>
      </c>
      <c r="C282" t="s">
        <v>2670</v>
      </c>
      <c r="D282" t="s">
        <v>2671</v>
      </c>
      <c r="E282" t="s">
        <v>2672</v>
      </c>
      <c r="F282" t="s">
        <v>2296</v>
      </c>
      <c r="G282" t="s">
        <v>2673</v>
      </c>
      <c r="H282" t="s">
        <v>18</v>
      </c>
      <c r="I282" t="s">
        <v>826</v>
      </c>
    </row>
    <row r="283" spans="1:9" ht="11.25" customHeight="1">
      <c r="A283" t="s">
        <v>2215</v>
      </c>
      <c r="B283" t="s">
        <v>14</v>
      </c>
      <c r="C283" t="s">
        <v>2285</v>
      </c>
      <c r="D283" t="s">
        <v>2286</v>
      </c>
      <c r="E283" t="s">
        <v>2287</v>
      </c>
      <c r="F283" t="s">
        <v>2231</v>
      </c>
      <c r="G283" t="s">
        <v>2288</v>
      </c>
      <c r="H283" t="s">
        <v>18</v>
      </c>
      <c r="I283" t="s">
        <v>826</v>
      </c>
    </row>
    <row r="284" spans="1:9" ht="11.25" customHeight="1">
      <c r="A284" t="s">
        <v>2215</v>
      </c>
      <c r="B284" t="s">
        <v>14</v>
      </c>
      <c r="C284" t="s">
        <v>2674</v>
      </c>
      <c r="D284" t="s">
        <v>2675</v>
      </c>
      <c r="E284" t="s">
        <v>2676</v>
      </c>
      <c r="F284" t="s">
        <v>2262</v>
      </c>
      <c r="G284" t="s">
        <v>2677</v>
      </c>
      <c r="H284" t="s">
        <v>2678</v>
      </c>
      <c r="I284" t="s">
        <v>826</v>
      </c>
    </row>
    <row r="285" spans="1:9" ht="11.25" customHeight="1">
      <c r="A285" t="s">
        <v>2215</v>
      </c>
      <c r="B285" t="s">
        <v>14</v>
      </c>
      <c r="C285" t="s">
        <v>2293</v>
      </c>
      <c r="D285" t="s">
        <v>2294</v>
      </c>
      <c r="E285" t="s">
        <v>2295</v>
      </c>
      <c r="F285" t="s">
        <v>2296</v>
      </c>
      <c r="G285" t="s">
        <v>2297</v>
      </c>
      <c r="H285" t="s">
        <v>2298</v>
      </c>
      <c r="I285" t="s">
        <v>826</v>
      </c>
    </row>
    <row r="286" spans="1:9" ht="11.25" customHeight="1">
      <c r="A286" t="s">
        <v>2215</v>
      </c>
      <c r="B286" t="s">
        <v>14</v>
      </c>
      <c r="C286" t="s">
        <v>18</v>
      </c>
      <c r="D286" t="s">
        <v>2299</v>
      </c>
      <c r="E286" t="s">
        <v>2300</v>
      </c>
      <c r="F286" t="s">
        <v>2231</v>
      </c>
      <c r="G286" t="s">
        <v>18</v>
      </c>
      <c r="H286" t="s">
        <v>18</v>
      </c>
      <c r="I286" t="s">
        <v>826</v>
      </c>
    </row>
    <row r="287" spans="1:9" ht="11.25" customHeight="1">
      <c r="A287" t="s">
        <v>2215</v>
      </c>
      <c r="B287" t="s">
        <v>14</v>
      </c>
      <c r="C287" t="s">
        <v>2679</v>
      </c>
      <c r="D287" t="s">
        <v>2680</v>
      </c>
      <c r="E287" t="s">
        <v>2681</v>
      </c>
      <c r="F287" t="s">
        <v>2308</v>
      </c>
      <c r="G287" t="s">
        <v>2682</v>
      </c>
      <c r="H287" t="s">
        <v>2683</v>
      </c>
      <c r="I287" t="s">
        <v>826</v>
      </c>
    </row>
    <row r="288" spans="1:9" ht="11.25" customHeight="1">
      <c r="A288" t="s">
        <v>2215</v>
      </c>
      <c r="B288" t="s">
        <v>14</v>
      </c>
      <c r="C288" t="s">
        <v>2305</v>
      </c>
      <c r="D288" t="s">
        <v>2306</v>
      </c>
      <c r="E288" t="s">
        <v>2307</v>
      </c>
      <c r="F288" t="s">
        <v>2308</v>
      </c>
      <c r="G288" t="s">
        <v>18</v>
      </c>
      <c r="H288" t="s">
        <v>18</v>
      </c>
      <c r="I288" t="s">
        <v>826</v>
      </c>
    </row>
    <row r="289" spans="1:9" ht="11.25" customHeight="1">
      <c r="A289" t="s">
        <v>2215</v>
      </c>
      <c r="B289" t="s">
        <v>14</v>
      </c>
      <c r="C289" t="s">
        <v>2309</v>
      </c>
      <c r="D289" t="s">
        <v>2310</v>
      </c>
      <c r="E289" t="s">
        <v>2311</v>
      </c>
      <c r="F289" t="s">
        <v>2227</v>
      </c>
      <c r="G289" t="s">
        <v>18</v>
      </c>
      <c r="H289" t="s">
        <v>18</v>
      </c>
      <c r="I289" t="s">
        <v>826</v>
      </c>
    </row>
    <row r="290" spans="1:9" ht="11.25" customHeight="1">
      <c r="A290" t="s">
        <v>2215</v>
      </c>
      <c r="B290" t="s">
        <v>14</v>
      </c>
      <c r="C290" t="s">
        <v>2687</v>
      </c>
      <c r="D290" t="s">
        <v>2688</v>
      </c>
      <c r="E290" t="s">
        <v>2689</v>
      </c>
      <c r="F290" t="s">
        <v>2227</v>
      </c>
      <c r="G290" t="s">
        <v>18</v>
      </c>
      <c r="H290" t="s">
        <v>2690</v>
      </c>
      <c r="I290" t="s">
        <v>826</v>
      </c>
    </row>
    <row r="291" spans="1:9" ht="11.25" customHeight="1">
      <c r="A291" t="s">
        <v>2215</v>
      </c>
      <c r="B291" t="s">
        <v>14</v>
      </c>
      <c r="C291" t="s">
        <v>2646</v>
      </c>
      <c r="D291" t="s">
        <v>2647</v>
      </c>
      <c r="E291" t="s">
        <v>2648</v>
      </c>
      <c r="F291" t="s">
        <v>2227</v>
      </c>
      <c r="G291" t="s">
        <v>2649</v>
      </c>
      <c r="H291" t="s">
        <v>2650</v>
      </c>
      <c r="I291" t="s">
        <v>826</v>
      </c>
    </row>
    <row r="292" spans="1:9" ht="11.25" customHeight="1">
      <c r="A292" t="s">
        <v>2215</v>
      </c>
      <c r="B292" t="s">
        <v>14</v>
      </c>
      <c r="C292" t="s">
        <v>2312</v>
      </c>
      <c r="D292" t="s">
        <v>2313</v>
      </c>
      <c r="E292" t="s">
        <v>2314</v>
      </c>
      <c r="F292" t="s">
        <v>2308</v>
      </c>
      <c r="G292" t="s">
        <v>2315</v>
      </c>
      <c r="H292" t="s">
        <v>18</v>
      </c>
      <c r="I292" t="s">
        <v>826</v>
      </c>
    </row>
    <row r="293" spans="1:9" ht="11.25" customHeight="1">
      <c r="A293" t="s">
        <v>2215</v>
      </c>
      <c r="B293" t="s">
        <v>14</v>
      </c>
      <c r="C293" t="s">
        <v>2316</v>
      </c>
      <c r="D293" t="s">
        <v>2317</v>
      </c>
      <c r="E293" t="s">
        <v>2318</v>
      </c>
      <c r="F293" t="s">
        <v>2308</v>
      </c>
      <c r="G293" t="s">
        <v>2319</v>
      </c>
      <c r="H293" t="s">
        <v>18</v>
      </c>
      <c r="I293" t="s">
        <v>826</v>
      </c>
    </row>
    <row r="294" spans="1:9" ht="11.25" customHeight="1">
      <c r="A294" t="s">
        <v>2215</v>
      </c>
      <c r="B294" t="s">
        <v>14</v>
      </c>
      <c r="C294" t="s">
        <v>2325</v>
      </c>
      <c r="D294" t="s">
        <v>2326</v>
      </c>
      <c r="E294" t="s">
        <v>2327</v>
      </c>
      <c r="F294" t="s">
        <v>2296</v>
      </c>
      <c r="G294" t="s">
        <v>2328</v>
      </c>
      <c r="H294" t="s">
        <v>18</v>
      </c>
      <c r="I294" t="s">
        <v>826</v>
      </c>
    </row>
    <row r="295" spans="1:9" ht="11.25" customHeight="1">
      <c r="A295" t="s">
        <v>2215</v>
      </c>
      <c r="B295" t="s">
        <v>14</v>
      </c>
      <c r="C295" t="s">
        <v>2329</v>
      </c>
      <c r="D295" t="s">
        <v>2330</v>
      </c>
      <c r="E295" t="s">
        <v>2331</v>
      </c>
      <c r="F295" t="s">
        <v>2332</v>
      </c>
      <c r="G295" t="s">
        <v>18</v>
      </c>
      <c r="H295" t="s">
        <v>18</v>
      </c>
      <c r="I295" t="s">
        <v>826</v>
      </c>
    </row>
    <row r="296" spans="1:9" ht="11.25" customHeight="1">
      <c r="A296" t="s">
        <v>2215</v>
      </c>
      <c r="B296" t="s">
        <v>14</v>
      </c>
      <c r="C296" t="s">
        <v>2691</v>
      </c>
      <c r="D296" t="s">
        <v>2692</v>
      </c>
      <c r="E296" t="s">
        <v>2693</v>
      </c>
      <c r="F296" t="s">
        <v>2308</v>
      </c>
      <c r="G296" t="s">
        <v>2694</v>
      </c>
      <c r="H296" t="s">
        <v>2695</v>
      </c>
      <c r="I296" t="s">
        <v>826</v>
      </c>
    </row>
    <row r="297" spans="1:9" ht="11.25" customHeight="1">
      <c r="A297" t="s">
        <v>2215</v>
      </c>
      <c r="B297" t="s">
        <v>14</v>
      </c>
      <c r="C297" t="s">
        <v>2696</v>
      </c>
      <c r="D297" t="s">
        <v>2697</v>
      </c>
      <c r="E297" t="s">
        <v>2698</v>
      </c>
      <c r="F297" t="s">
        <v>2699</v>
      </c>
      <c r="G297" t="s">
        <v>18</v>
      </c>
      <c r="H297" t="s">
        <v>18</v>
      </c>
      <c r="I297" t="s">
        <v>826</v>
      </c>
    </row>
    <row r="298" spans="1:9" ht="11.25" customHeight="1">
      <c r="A298" t="s">
        <v>2215</v>
      </c>
      <c r="B298" t="s">
        <v>14</v>
      </c>
      <c r="C298" t="s">
        <v>2340</v>
      </c>
      <c r="D298" t="s">
        <v>2341</v>
      </c>
      <c r="E298" t="s">
        <v>2342</v>
      </c>
      <c r="F298" t="s">
        <v>2343</v>
      </c>
      <c r="G298" t="s">
        <v>18</v>
      </c>
      <c r="H298" t="s">
        <v>18</v>
      </c>
      <c r="I298" t="s">
        <v>826</v>
      </c>
    </row>
    <row r="299" spans="1:9" ht="11.25" customHeight="1">
      <c r="A299" t="s">
        <v>2215</v>
      </c>
      <c r="B299" t="s">
        <v>14</v>
      </c>
      <c r="C299" t="s">
        <v>2344</v>
      </c>
      <c r="D299" t="s">
        <v>2345</v>
      </c>
      <c r="E299" t="s">
        <v>2346</v>
      </c>
      <c r="F299" t="s">
        <v>2227</v>
      </c>
      <c r="G299" t="s">
        <v>18</v>
      </c>
      <c r="H299" t="s">
        <v>2347</v>
      </c>
      <c r="I299" t="s">
        <v>826</v>
      </c>
    </row>
    <row r="300" spans="1:9" ht="11.25" customHeight="1">
      <c r="A300" t="s">
        <v>2215</v>
      </c>
      <c r="B300" t="s">
        <v>14</v>
      </c>
      <c r="C300" t="s">
        <v>2351</v>
      </c>
      <c r="D300" t="s">
        <v>2352</v>
      </c>
      <c r="E300" t="s">
        <v>2353</v>
      </c>
      <c r="F300" t="s">
        <v>2227</v>
      </c>
      <c r="G300" t="s">
        <v>18</v>
      </c>
      <c r="H300" t="s">
        <v>18</v>
      </c>
      <c r="I300" t="s">
        <v>826</v>
      </c>
    </row>
    <row r="301" spans="1:9" ht="11.25" customHeight="1">
      <c r="A301" t="s">
        <v>2215</v>
      </c>
      <c r="B301" t="s">
        <v>14</v>
      </c>
      <c r="C301" t="s">
        <v>2700</v>
      </c>
      <c r="D301" t="s">
        <v>2701</v>
      </c>
      <c r="E301" t="s">
        <v>2702</v>
      </c>
      <c r="F301" t="s">
        <v>2343</v>
      </c>
      <c r="G301" t="s">
        <v>2703</v>
      </c>
      <c r="H301" t="s">
        <v>18</v>
      </c>
      <c r="I301" t="s">
        <v>826</v>
      </c>
    </row>
    <row r="302" spans="1:9" ht="11.25" customHeight="1">
      <c r="A302" t="s">
        <v>2215</v>
      </c>
      <c r="B302" t="s">
        <v>14</v>
      </c>
      <c r="C302" t="s">
        <v>2357</v>
      </c>
      <c r="D302" t="s">
        <v>2358</v>
      </c>
      <c r="E302" t="s">
        <v>2359</v>
      </c>
      <c r="F302" t="s">
        <v>2227</v>
      </c>
      <c r="G302" t="s">
        <v>2360</v>
      </c>
      <c r="H302" t="s">
        <v>2361</v>
      </c>
      <c r="I302" t="s">
        <v>826</v>
      </c>
    </row>
    <row r="303" spans="1:9" ht="11.25" customHeight="1">
      <c r="A303" t="s">
        <v>2215</v>
      </c>
      <c r="B303" t="s">
        <v>14</v>
      </c>
      <c r="C303" t="s">
        <v>2362</v>
      </c>
      <c r="D303" t="s">
        <v>2363</v>
      </c>
      <c r="E303" t="s">
        <v>2364</v>
      </c>
      <c r="F303" t="s">
        <v>2227</v>
      </c>
      <c r="G303" t="s">
        <v>18</v>
      </c>
      <c r="H303" t="s">
        <v>18</v>
      </c>
      <c r="I303" t="s">
        <v>826</v>
      </c>
    </row>
    <row r="304" spans="1:9" ht="11.25" customHeight="1">
      <c r="A304" t="s">
        <v>2215</v>
      </c>
      <c r="B304" t="s">
        <v>14</v>
      </c>
      <c r="C304" t="s">
        <v>2368</v>
      </c>
      <c r="D304" t="s">
        <v>2369</v>
      </c>
      <c r="E304" t="s">
        <v>2370</v>
      </c>
      <c r="F304" t="s">
        <v>2227</v>
      </c>
      <c r="G304" t="s">
        <v>2371</v>
      </c>
      <c r="H304" t="s">
        <v>2372</v>
      </c>
      <c r="I304" t="s">
        <v>826</v>
      </c>
    </row>
    <row r="305" spans="1:9" ht="11.25" customHeight="1">
      <c r="A305" t="s">
        <v>2215</v>
      </c>
      <c r="B305" t="s">
        <v>14</v>
      </c>
      <c r="C305" t="s">
        <v>2373</v>
      </c>
      <c r="D305" t="s">
        <v>2374</v>
      </c>
      <c r="E305" t="s">
        <v>2375</v>
      </c>
      <c r="F305" t="s">
        <v>2296</v>
      </c>
      <c r="G305" t="s">
        <v>18</v>
      </c>
      <c r="H305" t="s">
        <v>18</v>
      </c>
      <c r="I305" t="s">
        <v>826</v>
      </c>
    </row>
    <row r="306" spans="1:9" ht="11.25" customHeight="1">
      <c r="A306" t="s">
        <v>2215</v>
      </c>
      <c r="B306" t="s">
        <v>14</v>
      </c>
      <c r="C306" t="s">
        <v>2376</v>
      </c>
      <c r="D306" t="s">
        <v>2377</v>
      </c>
      <c r="E306" t="s">
        <v>2378</v>
      </c>
      <c r="F306" t="s">
        <v>2262</v>
      </c>
      <c r="G306" t="s">
        <v>18</v>
      </c>
      <c r="H306" t="s">
        <v>2379</v>
      </c>
      <c r="I306" t="s">
        <v>826</v>
      </c>
    </row>
    <row r="307" spans="1:9" ht="11.25" customHeight="1">
      <c r="A307" t="s">
        <v>2215</v>
      </c>
      <c r="B307" t="s">
        <v>14</v>
      </c>
      <c r="C307" t="s">
        <v>2380</v>
      </c>
      <c r="D307" t="s">
        <v>2381</v>
      </c>
      <c r="E307" t="s">
        <v>2382</v>
      </c>
      <c r="F307" t="s">
        <v>2296</v>
      </c>
      <c r="G307" t="s">
        <v>2383</v>
      </c>
      <c r="H307" t="s">
        <v>18</v>
      </c>
      <c r="I307" t="s">
        <v>826</v>
      </c>
    </row>
    <row r="308" spans="1:9" ht="11.25" customHeight="1">
      <c r="A308" t="s">
        <v>2215</v>
      </c>
      <c r="B308" t="s">
        <v>14</v>
      </c>
      <c r="C308" t="s">
        <v>2704</v>
      </c>
      <c r="D308" t="s">
        <v>2705</v>
      </c>
      <c r="E308" t="s">
        <v>2706</v>
      </c>
      <c r="F308" t="s">
        <v>2456</v>
      </c>
      <c r="G308" t="s">
        <v>2707</v>
      </c>
      <c r="H308" t="s">
        <v>18</v>
      </c>
      <c r="I308" t="s">
        <v>826</v>
      </c>
    </row>
    <row r="309" spans="1:9" ht="11.25" customHeight="1">
      <c r="A309" t="s">
        <v>2215</v>
      </c>
      <c r="B309" t="s">
        <v>14</v>
      </c>
      <c r="C309" t="s">
        <v>2708</v>
      </c>
      <c r="D309" t="s">
        <v>2709</v>
      </c>
      <c r="E309" t="s">
        <v>2710</v>
      </c>
      <c r="F309" t="s">
        <v>2308</v>
      </c>
      <c r="G309" t="s">
        <v>18</v>
      </c>
      <c r="H309" t="s">
        <v>18</v>
      </c>
      <c r="I309" t="s">
        <v>826</v>
      </c>
    </row>
    <row r="310" spans="1:9" ht="11.25" customHeight="1">
      <c r="A310" t="s">
        <v>2215</v>
      </c>
      <c r="B310" t="s">
        <v>14</v>
      </c>
      <c r="C310" t="s">
        <v>2711</v>
      </c>
      <c r="D310" t="s">
        <v>2712</v>
      </c>
      <c r="E310" t="s">
        <v>2713</v>
      </c>
      <c r="F310" t="s">
        <v>2296</v>
      </c>
      <c r="G310" t="s">
        <v>18</v>
      </c>
      <c r="H310" t="s">
        <v>2714</v>
      </c>
      <c r="I310" t="s">
        <v>826</v>
      </c>
    </row>
    <row r="311" spans="1:9" ht="11.25" customHeight="1">
      <c r="A311" t="s">
        <v>2215</v>
      </c>
      <c r="B311" t="s">
        <v>14</v>
      </c>
      <c r="C311" t="s">
        <v>2388</v>
      </c>
      <c r="D311" t="s">
        <v>2389</v>
      </c>
      <c r="E311" t="s">
        <v>2390</v>
      </c>
      <c r="F311" t="s">
        <v>2227</v>
      </c>
      <c r="G311" t="s">
        <v>18</v>
      </c>
      <c r="H311" t="s">
        <v>2391</v>
      </c>
      <c r="I311" t="s">
        <v>826</v>
      </c>
    </row>
    <row r="312" spans="1:9" ht="11.25" customHeight="1">
      <c r="A312" t="s">
        <v>2215</v>
      </c>
      <c r="B312" t="s">
        <v>14</v>
      </c>
      <c r="C312" t="s">
        <v>2392</v>
      </c>
      <c r="D312" t="s">
        <v>2393</v>
      </c>
      <c r="E312" t="s">
        <v>2394</v>
      </c>
      <c r="F312" t="s">
        <v>2227</v>
      </c>
      <c r="G312" t="s">
        <v>18</v>
      </c>
      <c r="H312" t="s">
        <v>2395</v>
      </c>
      <c r="I312" t="s">
        <v>826</v>
      </c>
    </row>
    <row r="313" spans="1:9" ht="11.25" customHeight="1">
      <c r="A313" t="s">
        <v>2215</v>
      </c>
      <c r="B313" t="s">
        <v>14</v>
      </c>
      <c r="C313" t="s">
        <v>2715</v>
      </c>
      <c r="D313" t="s">
        <v>2716</v>
      </c>
      <c r="E313" t="s">
        <v>2717</v>
      </c>
      <c r="F313" t="s">
        <v>2227</v>
      </c>
      <c r="G313" t="s">
        <v>18</v>
      </c>
      <c r="H313" t="s">
        <v>2718</v>
      </c>
      <c r="I313" t="s">
        <v>826</v>
      </c>
    </row>
    <row r="314" spans="1:9" ht="11.25" customHeight="1">
      <c r="A314" t="s">
        <v>2215</v>
      </c>
      <c r="B314" t="s">
        <v>14</v>
      </c>
      <c r="C314" t="s">
        <v>2719</v>
      </c>
      <c r="D314" t="s">
        <v>2720</v>
      </c>
      <c r="E314" t="s">
        <v>2721</v>
      </c>
      <c r="F314" t="s">
        <v>2308</v>
      </c>
      <c r="G314" t="s">
        <v>18</v>
      </c>
      <c r="H314" t="s">
        <v>2722</v>
      </c>
      <c r="I314" t="s">
        <v>826</v>
      </c>
    </row>
    <row r="315" spans="1:9" ht="11.25" customHeight="1">
      <c r="A315" t="s">
        <v>2215</v>
      </c>
      <c r="B315" t="s">
        <v>14</v>
      </c>
      <c r="C315" t="s">
        <v>2402</v>
      </c>
      <c r="D315" t="s">
        <v>2403</v>
      </c>
      <c r="E315" t="s">
        <v>2404</v>
      </c>
      <c r="F315" t="s">
        <v>2296</v>
      </c>
      <c r="G315" t="s">
        <v>18</v>
      </c>
      <c r="H315" t="s">
        <v>2405</v>
      </c>
      <c r="I315" t="s">
        <v>826</v>
      </c>
    </row>
    <row r="316" spans="1:9" ht="11.25" customHeight="1">
      <c r="A316" t="s">
        <v>2215</v>
      </c>
      <c r="B316" t="s">
        <v>14</v>
      </c>
      <c r="C316" t="s">
        <v>2409</v>
      </c>
      <c r="D316" t="s">
        <v>2410</v>
      </c>
      <c r="E316" t="s">
        <v>2411</v>
      </c>
      <c r="F316" t="s">
        <v>2412</v>
      </c>
      <c r="G316" t="s">
        <v>18</v>
      </c>
      <c r="H316" t="s">
        <v>18</v>
      </c>
      <c r="I316" t="s">
        <v>826</v>
      </c>
    </row>
    <row r="317" spans="1:9" ht="11.25" customHeight="1">
      <c r="A317" t="s">
        <v>2215</v>
      </c>
      <c r="B317" t="s">
        <v>14</v>
      </c>
      <c r="C317" t="s">
        <v>2421</v>
      </c>
      <c r="D317" t="s">
        <v>2422</v>
      </c>
      <c r="E317" t="s">
        <v>2423</v>
      </c>
      <c r="F317" t="s">
        <v>2296</v>
      </c>
      <c r="G317" t="s">
        <v>2424</v>
      </c>
      <c r="H317" t="s">
        <v>18</v>
      </c>
      <c r="I317" t="s">
        <v>826</v>
      </c>
    </row>
    <row r="318" spans="1:9" ht="11.25" customHeight="1">
      <c r="A318" t="s">
        <v>2215</v>
      </c>
      <c r="B318" t="s">
        <v>14</v>
      </c>
      <c r="C318" t="s">
        <v>2425</v>
      </c>
      <c r="D318" t="s">
        <v>2426</v>
      </c>
      <c r="E318" t="s">
        <v>2427</v>
      </c>
      <c r="F318" t="s">
        <v>2296</v>
      </c>
      <c r="G318" t="s">
        <v>18</v>
      </c>
      <c r="H318" t="s">
        <v>2428</v>
      </c>
      <c r="I318" t="s">
        <v>826</v>
      </c>
    </row>
    <row r="319" spans="1:9" ht="11.25" customHeight="1">
      <c r="A319" t="s">
        <v>2215</v>
      </c>
      <c r="B319" t="s">
        <v>14</v>
      </c>
      <c r="C319" t="s">
        <v>2441</v>
      </c>
      <c r="D319" t="s">
        <v>2442</v>
      </c>
      <c r="E319" t="s">
        <v>2443</v>
      </c>
      <c r="F319" t="s">
        <v>2227</v>
      </c>
      <c r="G319" t="s">
        <v>18</v>
      </c>
      <c r="H319" t="s">
        <v>18</v>
      </c>
      <c r="I319" t="s">
        <v>826</v>
      </c>
    </row>
    <row r="320" spans="1:9" ht="11.25" customHeight="1">
      <c r="A320" t="s">
        <v>2215</v>
      </c>
      <c r="B320" t="s">
        <v>14</v>
      </c>
      <c r="C320" t="s">
        <v>2444</v>
      </c>
      <c r="D320" t="s">
        <v>2445</v>
      </c>
      <c r="E320" t="s">
        <v>2446</v>
      </c>
      <c r="F320" t="s">
        <v>2412</v>
      </c>
      <c r="G320" t="s">
        <v>2447</v>
      </c>
      <c r="H320" t="s">
        <v>2448</v>
      </c>
      <c r="I320" t="s">
        <v>826</v>
      </c>
    </row>
    <row r="321" spans="1:9" ht="11.25" customHeight="1">
      <c r="A321" t="s">
        <v>2215</v>
      </c>
      <c r="B321" t="s">
        <v>14</v>
      </c>
      <c r="C321" t="s">
        <v>2449</v>
      </c>
      <c r="D321" t="s">
        <v>2450</v>
      </c>
      <c r="E321" t="s">
        <v>2451</v>
      </c>
      <c r="F321" t="s">
        <v>2227</v>
      </c>
      <c r="G321" t="s">
        <v>18</v>
      </c>
      <c r="H321" t="s">
        <v>2452</v>
      </c>
      <c r="I321" t="s">
        <v>826</v>
      </c>
    </row>
    <row r="322" spans="1:9" ht="11.25" customHeight="1">
      <c r="A322" t="s">
        <v>2215</v>
      </c>
      <c r="B322" t="s">
        <v>14</v>
      </c>
      <c r="C322" t="s">
        <v>2723</v>
      </c>
      <c r="D322" t="s">
        <v>2724</v>
      </c>
      <c r="E322" t="s">
        <v>2725</v>
      </c>
      <c r="F322" t="s">
        <v>2699</v>
      </c>
      <c r="G322" t="s">
        <v>18</v>
      </c>
      <c r="H322" t="s">
        <v>2726</v>
      </c>
      <c r="I322" t="s">
        <v>826</v>
      </c>
    </row>
    <row r="323" spans="1:9" ht="11.25" customHeight="1">
      <c r="A323" t="s">
        <v>2215</v>
      </c>
      <c r="B323" t="s">
        <v>14</v>
      </c>
      <c r="C323" t="s">
        <v>2727</v>
      </c>
      <c r="D323" t="s">
        <v>2728</v>
      </c>
      <c r="E323" t="s">
        <v>2729</v>
      </c>
      <c r="F323" t="s">
        <v>2231</v>
      </c>
      <c r="G323" t="s">
        <v>2730</v>
      </c>
      <c r="H323" t="s">
        <v>18</v>
      </c>
      <c r="I323" t="s">
        <v>826</v>
      </c>
    </row>
    <row r="324" spans="1:9" ht="11.25" customHeight="1">
      <c r="A324" t="s">
        <v>2215</v>
      </c>
      <c r="B324" t="s">
        <v>14</v>
      </c>
      <c r="C324" t="s">
        <v>2731</v>
      </c>
      <c r="D324" t="s">
        <v>2732</v>
      </c>
      <c r="E324" t="s">
        <v>2733</v>
      </c>
      <c r="F324" t="s">
        <v>2231</v>
      </c>
      <c r="G324" t="s">
        <v>2734</v>
      </c>
      <c r="H324" t="s">
        <v>2475</v>
      </c>
      <c r="I324" t="s">
        <v>826</v>
      </c>
    </row>
    <row r="325" spans="1:9" ht="11.25" customHeight="1">
      <c r="A325" t="s">
        <v>2215</v>
      </c>
      <c r="B325" t="s">
        <v>14</v>
      </c>
      <c r="C325" t="s">
        <v>2462</v>
      </c>
      <c r="D325" t="s">
        <v>2463</v>
      </c>
      <c r="E325" t="s">
        <v>2464</v>
      </c>
      <c r="F325" t="s">
        <v>2465</v>
      </c>
      <c r="G325" t="s">
        <v>2466</v>
      </c>
      <c r="H325" t="s">
        <v>2467</v>
      </c>
      <c r="I325" t="s">
        <v>826</v>
      </c>
    </row>
    <row r="326" spans="1:9" ht="11.25" customHeight="1">
      <c r="A326" t="s">
        <v>2215</v>
      </c>
      <c r="B326" t="s">
        <v>14</v>
      </c>
      <c r="C326" t="s">
        <v>2468</v>
      </c>
      <c r="D326" t="s">
        <v>2469</v>
      </c>
      <c r="E326" t="s">
        <v>2464</v>
      </c>
      <c r="F326" t="s">
        <v>2470</v>
      </c>
      <c r="G326" t="s">
        <v>2467</v>
      </c>
      <c r="H326" t="s">
        <v>18</v>
      </c>
      <c r="I326" t="s">
        <v>826</v>
      </c>
    </row>
    <row r="327" spans="1:9" ht="11.25" customHeight="1">
      <c r="A327" t="s">
        <v>2215</v>
      </c>
      <c r="B327" t="s">
        <v>14</v>
      </c>
      <c r="C327" t="s">
        <v>2735</v>
      </c>
      <c r="D327" t="s">
        <v>2736</v>
      </c>
      <c r="E327" t="s">
        <v>2737</v>
      </c>
      <c r="F327" t="s">
        <v>2630</v>
      </c>
      <c r="G327" t="s">
        <v>18</v>
      </c>
      <c r="H327" t="s">
        <v>2738</v>
      </c>
      <c r="I327" t="s">
        <v>826</v>
      </c>
    </row>
    <row r="328" spans="1:9" ht="11.25" customHeight="1">
      <c r="A328" t="s">
        <v>2215</v>
      </c>
      <c r="B328" t="s">
        <v>14</v>
      </c>
      <c r="C328" t="s">
        <v>2471</v>
      </c>
      <c r="D328" t="s">
        <v>2472</v>
      </c>
      <c r="E328" t="s">
        <v>2473</v>
      </c>
      <c r="F328" t="s">
        <v>2412</v>
      </c>
      <c r="G328" t="s">
        <v>2474</v>
      </c>
      <c r="H328" t="s">
        <v>2475</v>
      </c>
      <c r="I328" t="s">
        <v>826</v>
      </c>
    </row>
    <row r="329" spans="1:9" ht="11.25" customHeight="1">
      <c r="A329" t="s">
        <v>2215</v>
      </c>
      <c r="B329" t="s">
        <v>14</v>
      </c>
      <c r="C329" t="s">
        <v>2476</v>
      </c>
      <c r="D329" t="s">
        <v>2477</v>
      </c>
      <c r="E329" t="s">
        <v>2478</v>
      </c>
      <c r="F329" t="s">
        <v>2479</v>
      </c>
      <c r="G329" t="s">
        <v>18</v>
      </c>
      <c r="H329" t="s">
        <v>18</v>
      </c>
      <c r="I329" t="s">
        <v>826</v>
      </c>
    </row>
    <row r="330" spans="1:9" ht="11.25" customHeight="1">
      <c r="A330" t="s">
        <v>2215</v>
      </c>
      <c r="B330" t="s">
        <v>14</v>
      </c>
      <c r="C330" t="s">
        <v>2743</v>
      </c>
      <c r="D330" t="s">
        <v>2744</v>
      </c>
      <c r="E330" t="s">
        <v>2745</v>
      </c>
      <c r="F330" t="s">
        <v>2332</v>
      </c>
      <c r="G330" t="s">
        <v>2746</v>
      </c>
      <c r="H330" t="s">
        <v>2499</v>
      </c>
      <c r="I330" t="s">
        <v>826</v>
      </c>
    </row>
    <row r="331" spans="1:9" ht="11.25" customHeight="1">
      <c r="A331" t="s">
        <v>2215</v>
      </c>
      <c r="B331" t="s">
        <v>14</v>
      </c>
      <c r="C331" t="s">
        <v>2483</v>
      </c>
      <c r="D331" t="s">
        <v>2484</v>
      </c>
      <c r="E331" t="s">
        <v>2485</v>
      </c>
      <c r="F331" t="s">
        <v>2343</v>
      </c>
      <c r="G331" t="s">
        <v>18</v>
      </c>
      <c r="H331" t="s">
        <v>2486</v>
      </c>
      <c r="I331" t="s">
        <v>826</v>
      </c>
    </row>
    <row r="332" spans="1:9" ht="11.25" customHeight="1">
      <c r="A332" t="s">
        <v>2215</v>
      </c>
      <c r="B332" t="s">
        <v>14</v>
      </c>
      <c r="C332" t="s">
        <v>2747</v>
      </c>
      <c r="D332" t="s">
        <v>2748</v>
      </c>
      <c r="E332" t="s">
        <v>2749</v>
      </c>
      <c r="F332" t="s">
        <v>2750</v>
      </c>
      <c r="G332" t="s">
        <v>18</v>
      </c>
      <c r="H332" t="s">
        <v>18</v>
      </c>
      <c r="I332" t="s">
        <v>826</v>
      </c>
    </row>
    <row r="333" spans="1:9" ht="11.25" customHeight="1">
      <c r="A333" t="s">
        <v>2215</v>
      </c>
      <c r="B333" t="s">
        <v>14</v>
      </c>
      <c r="C333" t="s">
        <v>2751</v>
      </c>
      <c r="D333" t="s">
        <v>2752</v>
      </c>
      <c r="E333" t="s">
        <v>2753</v>
      </c>
      <c r="F333" t="s">
        <v>2750</v>
      </c>
      <c r="G333" t="s">
        <v>18</v>
      </c>
      <c r="H333" t="s">
        <v>18</v>
      </c>
      <c r="I333" t="s">
        <v>826</v>
      </c>
    </row>
    <row r="334" spans="1:9" ht="11.25" customHeight="1">
      <c r="A334" t="s">
        <v>2215</v>
      </c>
      <c r="B334" t="s">
        <v>14</v>
      </c>
      <c r="C334" t="s">
        <v>2754</v>
      </c>
      <c r="D334" t="s">
        <v>2755</v>
      </c>
      <c r="E334" t="s">
        <v>2756</v>
      </c>
      <c r="F334" t="s">
        <v>2750</v>
      </c>
      <c r="G334" t="s">
        <v>18</v>
      </c>
      <c r="H334" t="s">
        <v>2757</v>
      </c>
      <c r="I334" t="s">
        <v>826</v>
      </c>
    </row>
    <row r="335" spans="1:9" ht="11.25" customHeight="1">
      <c r="A335" t="s">
        <v>2215</v>
      </c>
      <c r="B335" t="s">
        <v>14</v>
      </c>
      <c r="C335" t="s">
        <v>2802</v>
      </c>
      <c r="D335" t="s">
        <v>2803</v>
      </c>
      <c r="E335" t="s">
        <v>2804</v>
      </c>
      <c r="F335" t="s">
        <v>2231</v>
      </c>
      <c r="G335" t="s">
        <v>18</v>
      </c>
      <c r="H335" t="s">
        <v>2805</v>
      </c>
      <c r="I335" t="s">
        <v>826</v>
      </c>
    </row>
    <row r="336" spans="1:9" ht="11.25" customHeight="1">
      <c r="A336" t="s">
        <v>2215</v>
      </c>
      <c r="B336" t="s">
        <v>14</v>
      </c>
      <c r="C336" t="s">
        <v>2758</v>
      </c>
      <c r="D336" t="s">
        <v>2759</v>
      </c>
      <c r="E336" t="s">
        <v>2760</v>
      </c>
      <c r="F336" t="s">
        <v>2625</v>
      </c>
      <c r="G336" t="s">
        <v>2761</v>
      </c>
      <c r="H336" t="s">
        <v>18</v>
      </c>
      <c r="I336" t="s">
        <v>826</v>
      </c>
    </row>
    <row r="337" spans="1:9" ht="11.25" customHeight="1">
      <c r="A337" t="s">
        <v>2215</v>
      </c>
      <c r="B337" t="s">
        <v>14</v>
      </c>
      <c r="C337" t="s">
        <v>2762</v>
      </c>
      <c r="D337" t="s">
        <v>2763</v>
      </c>
      <c r="E337" t="s">
        <v>2764</v>
      </c>
      <c r="F337" t="s">
        <v>2231</v>
      </c>
      <c r="G337" t="s">
        <v>18</v>
      </c>
      <c r="H337" t="s">
        <v>2765</v>
      </c>
      <c r="I337" t="s">
        <v>826</v>
      </c>
    </row>
    <row r="338" spans="1:9" ht="11.25" customHeight="1">
      <c r="A338" t="s">
        <v>2215</v>
      </c>
      <c r="B338" t="s">
        <v>14</v>
      </c>
      <c r="C338" t="s">
        <v>2492</v>
      </c>
      <c r="D338" t="s">
        <v>2493</v>
      </c>
      <c r="E338" t="s">
        <v>2494</v>
      </c>
      <c r="F338" t="s">
        <v>2296</v>
      </c>
      <c r="G338" t="s">
        <v>18</v>
      </c>
      <c r="H338" t="s">
        <v>2495</v>
      </c>
      <c r="I338" t="s">
        <v>826</v>
      </c>
    </row>
    <row r="339" spans="1:9" ht="11.25" customHeight="1">
      <c r="A339" t="s">
        <v>2215</v>
      </c>
      <c r="B339" t="s">
        <v>14</v>
      </c>
      <c r="C339" t="s">
        <v>2496</v>
      </c>
      <c r="D339" t="s">
        <v>2497</v>
      </c>
      <c r="E339" t="s">
        <v>2498</v>
      </c>
      <c r="F339" t="s">
        <v>2296</v>
      </c>
      <c r="G339" t="s">
        <v>18</v>
      </c>
      <c r="H339" t="s">
        <v>2499</v>
      </c>
      <c r="I339" t="s">
        <v>826</v>
      </c>
    </row>
    <row r="340" spans="1:9" ht="11.25" customHeight="1">
      <c r="A340" t="s">
        <v>2215</v>
      </c>
      <c r="B340" t="s">
        <v>14</v>
      </c>
      <c r="C340" t="s">
        <v>2514</v>
      </c>
      <c r="D340" t="s">
        <v>2515</v>
      </c>
      <c r="E340" t="s">
        <v>2516</v>
      </c>
      <c r="F340" t="s">
        <v>2517</v>
      </c>
      <c r="G340" t="s">
        <v>2518</v>
      </c>
      <c r="H340" t="s">
        <v>18</v>
      </c>
      <c r="I340" t="s">
        <v>826</v>
      </c>
    </row>
    <row r="341" spans="1:9" ht="11.25" customHeight="1">
      <c r="A341" t="s">
        <v>2215</v>
      </c>
      <c r="B341" t="s">
        <v>14</v>
      </c>
      <c r="C341" t="s">
        <v>2519</v>
      </c>
      <c r="D341" t="s">
        <v>2520</v>
      </c>
      <c r="E341" t="s">
        <v>2521</v>
      </c>
      <c r="F341" t="s">
        <v>2296</v>
      </c>
      <c r="G341" t="s">
        <v>2522</v>
      </c>
      <c r="H341" t="s">
        <v>2523</v>
      </c>
      <c r="I341" t="s">
        <v>826</v>
      </c>
    </row>
    <row r="342" spans="1:9" ht="11.25" customHeight="1">
      <c r="A342" t="s">
        <v>2215</v>
      </c>
      <c r="B342" t="s">
        <v>14</v>
      </c>
      <c r="C342" t="s">
        <v>2774</v>
      </c>
      <c r="D342" t="s">
        <v>2775</v>
      </c>
      <c r="E342" t="s">
        <v>2776</v>
      </c>
      <c r="F342" t="s">
        <v>2456</v>
      </c>
      <c r="G342" t="s">
        <v>18</v>
      </c>
      <c r="H342" t="s">
        <v>18</v>
      </c>
      <c r="I342" t="s">
        <v>826</v>
      </c>
    </row>
    <row r="343" spans="1:9" ht="11.25" customHeight="1">
      <c r="A343" t="s">
        <v>2215</v>
      </c>
      <c r="B343" t="s">
        <v>14</v>
      </c>
      <c r="C343" t="s">
        <v>2777</v>
      </c>
      <c r="D343" t="s">
        <v>2778</v>
      </c>
      <c r="E343" t="s">
        <v>2779</v>
      </c>
      <c r="F343" t="s">
        <v>2565</v>
      </c>
      <c r="G343" t="s">
        <v>2780</v>
      </c>
      <c r="H343" t="s">
        <v>18</v>
      </c>
      <c r="I343" t="s">
        <v>826</v>
      </c>
    </row>
    <row r="344" spans="1:9" ht="11.25" customHeight="1">
      <c r="A344" t="s">
        <v>2215</v>
      </c>
      <c r="B344" t="s">
        <v>14</v>
      </c>
      <c r="C344" t="s">
        <v>2534</v>
      </c>
      <c r="D344" t="s">
        <v>2535</v>
      </c>
      <c r="E344" t="s">
        <v>2536</v>
      </c>
      <c r="F344" t="s">
        <v>2412</v>
      </c>
      <c r="G344" t="s">
        <v>18</v>
      </c>
      <c r="H344" t="s">
        <v>2537</v>
      </c>
      <c r="I344" t="s">
        <v>826</v>
      </c>
    </row>
    <row r="345" spans="1:9" ht="11.25" customHeight="1">
      <c r="A345" t="s">
        <v>2215</v>
      </c>
      <c r="B345" t="s">
        <v>14</v>
      </c>
      <c r="C345" t="s">
        <v>2543</v>
      </c>
      <c r="D345" t="s">
        <v>2544</v>
      </c>
      <c r="E345" t="s">
        <v>2545</v>
      </c>
      <c r="F345" t="s">
        <v>2343</v>
      </c>
      <c r="G345" t="s">
        <v>2546</v>
      </c>
      <c r="H345" t="s">
        <v>18</v>
      </c>
      <c r="I345" t="s">
        <v>826</v>
      </c>
    </row>
    <row r="346" spans="1:9" ht="11.25" customHeight="1">
      <c r="A346" t="s">
        <v>2215</v>
      </c>
      <c r="B346" t="s">
        <v>14</v>
      </c>
      <c r="C346" t="s">
        <v>2558</v>
      </c>
      <c r="D346" t="s">
        <v>2559</v>
      </c>
      <c r="E346" t="s">
        <v>2560</v>
      </c>
      <c r="F346" t="s">
        <v>2332</v>
      </c>
      <c r="G346" t="s">
        <v>18</v>
      </c>
      <c r="H346" t="s">
        <v>2561</v>
      </c>
      <c r="I346" t="s">
        <v>826</v>
      </c>
    </row>
    <row r="347" spans="1:9" ht="11.25" customHeight="1">
      <c r="A347" t="s">
        <v>2215</v>
      </c>
      <c r="B347" t="s">
        <v>14</v>
      </c>
      <c r="C347" t="s">
        <v>2566</v>
      </c>
      <c r="D347" t="s">
        <v>2567</v>
      </c>
      <c r="E347" t="s">
        <v>2568</v>
      </c>
      <c r="F347" t="s">
        <v>2227</v>
      </c>
      <c r="G347" t="s">
        <v>18</v>
      </c>
      <c r="H347" t="s">
        <v>2499</v>
      </c>
      <c r="I347" t="s">
        <v>826</v>
      </c>
    </row>
    <row r="348" spans="1:9" ht="11.25" customHeight="1">
      <c r="A348" t="s">
        <v>2215</v>
      </c>
      <c r="B348" t="s">
        <v>14</v>
      </c>
      <c r="C348" t="s">
        <v>2569</v>
      </c>
      <c r="D348" t="s">
        <v>2570</v>
      </c>
      <c r="E348" t="s">
        <v>2571</v>
      </c>
      <c r="F348" t="s">
        <v>2296</v>
      </c>
      <c r="G348" t="s">
        <v>2572</v>
      </c>
      <c r="H348" t="s">
        <v>2573</v>
      </c>
      <c r="I348" t="s">
        <v>826</v>
      </c>
    </row>
    <row r="349" spans="1:9" ht="11.25" customHeight="1">
      <c r="A349" t="s">
        <v>2215</v>
      </c>
      <c r="B349" t="s">
        <v>14</v>
      </c>
      <c r="C349" t="s">
        <v>2786</v>
      </c>
      <c r="D349" t="s">
        <v>2787</v>
      </c>
      <c r="E349" t="s">
        <v>2788</v>
      </c>
      <c r="F349" t="s">
        <v>2750</v>
      </c>
      <c r="G349" t="s">
        <v>18</v>
      </c>
      <c r="H349" t="s">
        <v>2757</v>
      </c>
      <c r="I349" t="s">
        <v>826</v>
      </c>
    </row>
    <row r="350" spans="1:9" ht="11.25" customHeight="1">
      <c r="A350" t="s">
        <v>2215</v>
      </c>
      <c r="B350" t="s">
        <v>14</v>
      </c>
      <c r="C350" t="s">
        <v>2789</v>
      </c>
      <c r="D350" t="s">
        <v>2790</v>
      </c>
      <c r="E350" t="s">
        <v>2791</v>
      </c>
      <c r="F350" t="s">
        <v>2227</v>
      </c>
      <c r="G350" t="s">
        <v>18</v>
      </c>
      <c r="H350" t="s">
        <v>18</v>
      </c>
      <c r="I350" t="s">
        <v>826</v>
      </c>
    </row>
    <row r="351" spans="1:9" ht="11.25" customHeight="1">
      <c r="A351" t="s">
        <v>2215</v>
      </c>
      <c r="B351" t="s">
        <v>14</v>
      </c>
      <c r="C351" t="s">
        <v>2588</v>
      </c>
      <c r="D351" t="s">
        <v>2589</v>
      </c>
      <c r="E351" t="s">
        <v>2590</v>
      </c>
      <c r="F351" t="s">
        <v>2227</v>
      </c>
      <c r="G351" t="s">
        <v>2591</v>
      </c>
      <c r="H351" t="s">
        <v>2592</v>
      </c>
      <c r="I351" t="s">
        <v>826</v>
      </c>
    </row>
    <row r="352" spans="1:9" ht="11.25" customHeight="1">
      <c r="A352" t="s">
        <v>2215</v>
      </c>
      <c r="B352" t="s">
        <v>14</v>
      </c>
      <c r="C352" t="s">
        <v>2806</v>
      </c>
      <c r="D352" t="s">
        <v>2807</v>
      </c>
      <c r="E352" t="s">
        <v>2808</v>
      </c>
      <c r="F352" t="s">
        <v>2809</v>
      </c>
      <c r="G352" t="s">
        <v>2810</v>
      </c>
      <c r="H352" t="s">
        <v>18</v>
      </c>
      <c r="I352" t="s">
        <v>826</v>
      </c>
    </row>
    <row r="353" spans="1:9" ht="11.25" customHeight="1">
      <c r="A353" t="s">
        <v>2215</v>
      </c>
      <c r="B353" t="s">
        <v>14</v>
      </c>
      <c r="C353" t="s">
        <v>2792</v>
      </c>
      <c r="D353" t="s">
        <v>2793</v>
      </c>
      <c r="E353" t="s">
        <v>2794</v>
      </c>
      <c r="F353" t="s">
        <v>2296</v>
      </c>
      <c r="G353" t="s">
        <v>18</v>
      </c>
      <c r="H353" t="s">
        <v>2499</v>
      </c>
      <c r="I353" t="s">
        <v>826</v>
      </c>
    </row>
    <row r="354" spans="1:9" ht="11.25" customHeight="1">
      <c r="A354" t="s">
        <v>2215</v>
      </c>
      <c r="B354" t="s">
        <v>14</v>
      </c>
      <c r="C354" t="s">
        <v>2593</v>
      </c>
      <c r="D354" t="s">
        <v>2594</v>
      </c>
      <c r="E354" t="s">
        <v>2595</v>
      </c>
      <c r="F354" t="s">
        <v>2596</v>
      </c>
      <c r="G354" t="s">
        <v>2597</v>
      </c>
      <c r="H354" t="s">
        <v>18</v>
      </c>
      <c r="I354" t="s">
        <v>826</v>
      </c>
    </row>
    <row r="355" spans="1:9" ht="11.25" customHeight="1">
      <c r="A355" t="s">
        <v>2215</v>
      </c>
      <c r="B355" t="s">
        <v>14</v>
      </c>
      <c r="C355" t="s">
        <v>2795</v>
      </c>
      <c r="D355" t="s">
        <v>2796</v>
      </c>
      <c r="E355" t="s">
        <v>2797</v>
      </c>
      <c r="F355" t="s">
        <v>2308</v>
      </c>
      <c r="G355" t="s">
        <v>18</v>
      </c>
      <c r="H355" t="s">
        <v>2499</v>
      </c>
      <c r="I355" t="s">
        <v>826</v>
      </c>
    </row>
    <row r="356" spans="1:9" ht="11.25" customHeight="1">
      <c r="A356" t="s">
        <v>2215</v>
      </c>
      <c r="B356" t="s">
        <v>14</v>
      </c>
      <c r="C356" t="s">
        <v>2609</v>
      </c>
      <c r="D356" t="s">
        <v>2610</v>
      </c>
      <c r="E356" t="s">
        <v>2595</v>
      </c>
      <c r="F356" t="s">
        <v>2611</v>
      </c>
      <c r="G356" t="s">
        <v>2612</v>
      </c>
      <c r="H356" t="s">
        <v>18</v>
      </c>
      <c r="I356" t="s">
        <v>826</v>
      </c>
    </row>
    <row r="357" spans="1:9" ht="11.25" customHeight="1">
      <c r="A357" t="s">
        <v>2215</v>
      </c>
      <c r="B357" t="s">
        <v>14</v>
      </c>
      <c r="C357" t="s">
        <v>2613</v>
      </c>
      <c r="D357" t="s">
        <v>2614</v>
      </c>
      <c r="E357" t="s">
        <v>2615</v>
      </c>
      <c r="F357" t="s">
        <v>2227</v>
      </c>
      <c r="G357" t="s">
        <v>2616</v>
      </c>
      <c r="H357" t="s">
        <v>2617</v>
      </c>
      <c r="I357" t="s">
        <v>826</v>
      </c>
    </row>
    <row r="358" spans="1:9" ht="11.25" customHeight="1">
      <c r="A358" t="s">
        <v>2215</v>
      </c>
      <c r="B358" t="s">
        <v>14</v>
      </c>
      <c r="C358" t="s">
        <v>2618</v>
      </c>
      <c r="D358" t="s">
        <v>2619</v>
      </c>
      <c r="E358" t="s">
        <v>2620</v>
      </c>
      <c r="F358" t="s">
        <v>2621</v>
      </c>
      <c r="G358" t="s">
        <v>18</v>
      </c>
      <c r="H358" t="s">
        <v>18</v>
      </c>
      <c r="I358" t="s">
        <v>826</v>
      </c>
    </row>
    <row r="359" spans="1:9" ht="11.25" customHeight="1">
      <c r="A359" t="s">
        <v>2215</v>
      </c>
      <c r="B359" t="s">
        <v>14</v>
      </c>
      <c r="C359" t="s">
        <v>2632</v>
      </c>
      <c r="D359" t="s">
        <v>2633</v>
      </c>
      <c r="E359" t="s">
        <v>2634</v>
      </c>
      <c r="F359" t="s">
        <v>2630</v>
      </c>
      <c r="G359" t="s">
        <v>18</v>
      </c>
      <c r="H359" t="s">
        <v>18</v>
      </c>
      <c r="I359" t="s">
        <v>826</v>
      </c>
    </row>
    <row r="360" spans="1:9" ht="11.25" customHeight="1">
      <c r="A360" t="s">
        <v>2215</v>
      </c>
      <c r="B360" t="s">
        <v>14</v>
      </c>
      <c r="C360" t="s">
        <v>2811</v>
      </c>
      <c r="D360" t="s">
        <v>2812</v>
      </c>
      <c r="E360" t="s">
        <v>2813</v>
      </c>
      <c r="F360" t="s">
        <v>2814</v>
      </c>
      <c r="G360" t="s">
        <v>18</v>
      </c>
      <c r="H360" t="s">
        <v>18</v>
      </c>
      <c r="I360" t="s">
        <v>826</v>
      </c>
    </row>
    <row r="361" spans="1:9" ht="11.25" customHeight="1">
      <c r="A361" t="s">
        <v>2215</v>
      </c>
      <c r="B361" t="s">
        <v>14</v>
      </c>
      <c r="C361" t="s">
        <v>2638</v>
      </c>
      <c r="D361" t="s">
        <v>2639</v>
      </c>
      <c r="E361" t="s">
        <v>2640</v>
      </c>
      <c r="F361" t="s">
        <v>2479</v>
      </c>
      <c r="G361" t="s">
        <v>18</v>
      </c>
      <c r="H361" t="s">
        <v>18</v>
      </c>
      <c r="I361" t="s">
        <v>826</v>
      </c>
    </row>
    <row r="362" spans="1:9" ht="11.25" customHeight="1">
      <c r="A362" t="s">
        <v>2215</v>
      </c>
      <c r="B362" t="s">
        <v>14</v>
      </c>
      <c r="C362" t="s">
        <v>2228</v>
      </c>
      <c r="D362" t="s">
        <v>2229</v>
      </c>
      <c r="E362" t="s">
        <v>2230</v>
      </c>
      <c r="F362" t="s">
        <v>2231</v>
      </c>
      <c r="G362" t="s">
        <v>2232</v>
      </c>
      <c r="H362" t="s">
        <v>18</v>
      </c>
      <c r="I362" t="s">
        <v>1584</v>
      </c>
    </row>
    <row r="363" spans="1:9" ht="11.25" customHeight="1">
      <c r="A363" t="s">
        <v>2215</v>
      </c>
      <c r="B363" t="s">
        <v>14</v>
      </c>
      <c r="C363" t="s">
        <v>18</v>
      </c>
      <c r="D363" t="s">
        <v>2299</v>
      </c>
      <c r="E363" t="s">
        <v>2300</v>
      </c>
      <c r="F363" t="s">
        <v>2231</v>
      </c>
      <c r="G363" t="s">
        <v>18</v>
      </c>
      <c r="H363" t="s">
        <v>18</v>
      </c>
      <c r="I363" t="s">
        <v>1584</v>
      </c>
    </row>
    <row r="364" spans="1:9" ht="11.25" customHeight="1">
      <c r="A364" t="s">
        <v>2215</v>
      </c>
      <c r="B364" t="s">
        <v>14</v>
      </c>
      <c r="C364" t="s">
        <v>2815</v>
      </c>
      <c r="D364" t="s">
        <v>2321</v>
      </c>
      <c r="E364" t="s">
        <v>2322</v>
      </c>
      <c r="F364" t="s">
        <v>2244</v>
      </c>
      <c r="G364" t="s">
        <v>18</v>
      </c>
      <c r="H364" t="s">
        <v>18</v>
      </c>
      <c r="I364" t="s">
        <v>1584</v>
      </c>
    </row>
    <row r="365" spans="1:9" ht="11.25" customHeight="1">
      <c r="A365" t="s">
        <v>2215</v>
      </c>
      <c r="B365" t="s">
        <v>14</v>
      </c>
      <c r="C365" t="s">
        <v>2333</v>
      </c>
      <c r="D365" t="s">
        <v>2334</v>
      </c>
      <c r="E365" t="s">
        <v>2335</v>
      </c>
      <c r="F365" t="s">
        <v>2262</v>
      </c>
      <c r="G365" t="s">
        <v>18</v>
      </c>
      <c r="H365" t="s">
        <v>18</v>
      </c>
      <c r="I365" t="s">
        <v>1584</v>
      </c>
    </row>
    <row r="366" spans="1:9" ht="11.25" customHeight="1">
      <c r="A366" t="s">
        <v>2215</v>
      </c>
      <c r="B366" t="s">
        <v>14</v>
      </c>
      <c r="C366" t="s">
        <v>2816</v>
      </c>
      <c r="D366" t="s">
        <v>2817</v>
      </c>
      <c r="E366" t="s">
        <v>2818</v>
      </c>
      <c r="F366" t="s">
        <v>2625</v>
      </c>
      <c r="G366" t="s">
        <v>18</v>
      </c>
      <c r="H366" t="s">
        <v>2819</v>
      </c>
      <c r="I366" t="s">
        <v>1584</v>
      </c>
    </row>
    <row r="367" spans="1:9" ht="11.25" customHeight="1">
      <c r="A367" t="s">
        <v>2215</v>
      </c>
      <c r="B367" t="s">
        <v>14</v>
      </c>
      <c r="C367" t="s">
        <v>2723</v>
      </c>
      <c r="D367" t="s">
        <v>2724</v>
      </c>
      <c r="E367" t="s">
        <v>2725</v>
      </c>
      <c r="F367" t="s">
        <v>2699</v>
      </c>
      <c r="G367" t="s">
        <v>18</v>
      </c>
      <c r="H367" t="s">
        <v>2726</v>
      </c>
      <c r="I367" t="s">
        <v>1584</v>
      </c>
    </row>
    <row r="368" spans="1:9" ht="11.25" customHeight="1">
      <c r="A368" t="s">
        <v>2215</v>
      </c>
      <c r="B368" t="s">
        <v>14</v>
      </c>
      <c r="C368" t="s">
        <v>2453</v>
      </c>
      <c r="D368" t="s">
        <v>2454</v>
      </c>
      <c r="E368" t="s">
        <v>2455</v>
      </c>
      <c r="F368" t="s">
        <v>2456</v>
      </c>
      <c r="G368" t="s">
        <v>2457</v>
      </c>
      <c r="H368" t="s">
        <v>18</v>
      </c>
      <c r="I368" t="s">
        <v>1584</v>
      </c>
    </row>
    <row r="369" spans="1:9" ht="11.25" customHeight="1">
      <c r="A369" t="s">
        <v>2215</v>
      </c>
      <c r="B369" t="s">
        <v>14</v>
      </c>
      <c r="C369" t="s">
        <v>2820</v>
      </c>
      <c r="D369" t="s">
        <v>2821</v>
      </c>
      <c r="E369" t="s">
        <v>2822</v>
      </c>
      <c r="F369" t="s">
        <v>2630</v>
      </c>
      <c r="G369" t="s">
        <v>18</v>
      </c>
      <c r="H369" t="s">
        <v>18</v>
      </c>
      <c r="I369" t="s">
        <v>1584</v>
      </c>
    </row>
    <row r="370" spans="1:9" ht="11.25" customHeight="1">
      <c r="A370" t="s">
        <v>2215</v>
      </c>
      <c r="B370" t="s">
        <v>14</v>
      </c>
      <c r="C370" t="s">
        <v>2823</v>
      </c>
      <c r="D370" t="s">
        <v>2824</v>
      </c>
      <c r="E370" t="s">
        <v>2825</v>
      </c>
      <c r="F370" t="s">
        <v>2296</v>
      </c>
      <c r="G370" t="s">
        <v>18</v>
      </c>
      <c r="H370" t="s">
        <v>18</v>
      </c>
      <c r="I370" t="s">
        <v>1584</v>
      </c>
    </row>
    <row r="371" spans="1:9" ht="11.25" customHeight="1">
      <c r="A371" t="s">
        <v>2215</v>
      </c>
      <c r="B371" t="s">
        <v>14</v>
      </c>
      <c r="C371" t="s">
        <v>2826</v>
      </c>
      <c r="D371" t="s">
        <v>2827</v>
      </c>
      <c r="E371" t="s">
        <v>2828</v>
      </c>
      <c r="F371" t="s">
        <v>2343</v>
      </c>
      <c r="G371" t="s">
        <v>18</v>
      </c>
      <c r="H371" t="s">
        <v>18</v>
      </c>
      <c r="I371" t="s">
        <v>1584</v>
      </c>
    </row>
    <row r="372" spans="1:9" ht="11.25" customHeight="1">
      <c r="A372" t="s">
        <v>2215</v>
      </c>
      <c r="B372" t="s">
        <v>14</v>
      </c>
      <c r="C372" t="s">
        <v>2829</v>
      </c>
      <c r="D372" t="s">
        <v>2830</v>
      </c>
      <c r="E372" t="s">
        <v>2831</v>
      </c>
      <c r="F372" t="s">
        <v>2412</v>
      </c>
      <c r="G372" t="s">
        <v>18</v>
      </c>
      <c r="H372" t="s">
        <v>18</v>
      </c>
      <c r="I372" t="s">
        <v>1584</v>
      </c>
    </row>
    <row r="373" spans="1:9" ht="11.25" customHeight="1">
      <c r="A373" t="s">
        <v>2215</v>
      </c>
      <c r="B373" t="s">
        <v>14</v>
      </c>
      <c r="C373" t="s">
        <v>2832</v>
      </c>
      <c r="D373" t="s">
        <v>2833</v>
      </c>
      <c r="E373" t="s">
        <v>2834</v>
      </c>
      <c r="F373" t="s">
        <v>2231</v>
      </c>
      <c r="G373" t="s">
        <v>18</v>
      </c>
      <c r="H373" t="s">
        <v>18</v>
      </c>
      <c r="I373" t="s">
        <v>1584</v>
      </c>
    </row>
    <row r="374" spans="1:9" ht="11.25" customHeight="1">
      <c r="A374" t="s">
        <v>2215</v>
      </c>
      <c r="B374" t="s">
        <v>14</v>
      </c>
      <c r="C374" t="s">
        <v>2835</v>
      </c>
      <c r="D374" t="s">
        <v>2836</v>
      </c>
      <c r="E374" t="s">
        <v>2837</v>
      </c>
      <c r="F374" t="s">
        <v>2262</v>
      </c>
      <c r="G374" t="s">
        <v>18</v>
      </c>
      <c r="H374" t="s">
        <v>18</v>
      </c>
      <c r="I374" t="s">
        <v>1584</v>
      </c>
    </row>
    <row r="375" spans="1:9" ht="11.25" customHeight="1">
      <c r="A375" t="s">
        <v>2215</v>
      </c>
      <c r="B375" t="s">
        <v>14</v>
      </c>
      <c r="C375" t="s">
        <v>2838</v>
      </c>
      <c r="D375" t="s">
        <v>2839</v>
      </c>
      <c r="E375" t="s">
        <v>2840</v>
      </c>
      <c r="F375" t="s">
        <v>2231</v>
      </c>
      <c r="G375" t="s">
        <v>18</v>
      </c>
      <c r="H375" t="s">
        <v>2841</v>
      </c>
      <c r="I375" t="s">
        <v>1584</v>
      </c>
    </row>
    <row r="376" spans="1:9" ht="11.25" customHeight="1">
      <c r="A376" t="s">
        <v>2215</v>
      </c>
      <c r="B376" t="s">
        <v>14</v>
      </c>
      <c r="C376" t="s">
        <v>2842</v>
      </c>
      <c r="D376" t="s">
        <v>2839</v>
      </c>
      <c r="E376" t="s">
        <v>2843</v>
      </c>
      <c r="F376" t="s">
        <v>46</v>
      </c>
      <c r="G376" t="s">
        <v>18</v>
      </c>
      <c r="H376" t="s">
        <v>18</v>
      </c>
      <c r="I376" t="s">
        <v>1584</v>
      </c>
    </row>
    <row r="377" spans="1:9" ht="11.25" customHeight="1">
      <c r="A377" t="s">
        <v>2215</v>
      </c>
      <c r="B377" t="s">
        <v>14</v>
      </c>
      <c r="C377" t="s">
        <v>2844</v>
      </c>
      <c r="D377" t="s">
        <v>2845</v>
      </c>
      <c r="E377" t="s">
        <v>2846</v>
      </c>
      <c r="F377" t="s">
        <v>2308</v>
      </c>
      <c r="G377" t="s">
        <v>18</v>
      </c>
      <c r="H377" t="s">
        <v>18</v>
      </c>
      <c r="I377" t="s">
        <v>1584</v>
      </c>
    </row>
    <row r="378" spans="1:9" ht="11.25" customHeight="1">
      <c r="A378" t="s">
        <v>2215</v>
      </c>
      <c r="B378" t="s">
        <v>14</v>
      </c>
      <c r="C378" t="s">
        <v>2847</v>
      </c>
      <c r="D378" t="s">
        <v>2848</v>
      </c>
      <c r="E378" t="s">
        <v>2849</v>
      </c>
      <c r="F378" t="s">
        <v>2332</v>
      </c>
      <c r="G378" t="s">
        <v>2850</v>
      </c>
      <c r="H378" t="s">
        <v>18</v>
      </c>
      <c r="I378" t="s">
        <v>1584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F70D1-8CA4-8737-A7E4-000000000000}">
  <sheetPr>
    <tabColor rgb="FFFFCC99"/>
  </sheetPr>
  <dimension ref="A1:G37"/>
  <sheetViews>
    <sheetView showGridLines="0" workbookViewId="0"/>
  </sheetViews>
  <sheetFormatPr defaultRowHeight="11.25" customHeight="1"/>
  <sheetData>
    <row r="1" spans="1:7" ht="11.25" customHeight="1">
      <c r="A1" t="s">
        <v>2851</v>
      </c>
      <c r="B1" s="2" t="s">
        <v>2852</v>
      </c>
      <c r="C1" s="2" t="s">
        <v>2853</v>
      </c>
      <c r="D1" s="2" t="s">
        <v>2854</v>
      </c>
      <c r="E1" s="2" t="s">
        <v>2855</v>
      </c>
      <c r="F1" s="2" t="s">
        <v>2856</v>
      </c>
      <c r="G1" s="2" t="s">
        <v>2857</v>
      </c>
    </row>
    <row r="2" spans="1:7" ht="11.25" customHeight="1">
      <c r="A2" t="s">
        <v>14</v>
      </c>
      <c r="B2" t="s">
        <v>2858</v>
      </c>
      <c r="C2" t="s">
        <v>2859</v>
      </c>
      <c r="D2" t="s">
        <v>2858</v>
      </c>
      <c r="E2" t="s">
        <v>2859</v>
      </c>
      <c r="F2" t="s">
        <v>2860</v>
      </c>
      <c r="G2" t="s">
        <v>105</v>
      </c>
    </row>
    <row r="3" spans="1:7" ht="11.25" customHeight="1">
      <c r="A3" t="s">
        <v>14</v>
      </c>
      <c r="B3" t="s">
        <v>2861</v>
      </c>
      <c r="C3" t="s">
        <v>2862</v>
      </c>
      <c r="D3" t="s">
        <v>2861</v>
      </c>
      <c r="E3" t="s">
        <v>2862</v>
      </c>
      <c r="F3" t="s">
        <v>2860</v>
      </c>
      <c r="G3" t="s">
        <v>106</v>
      </c>
    </row>
    <row r="4" spans="1:7" ht="11.25" customHeight="1">
      <c r="A4" t="s">
        <v>14</v>
      </c>
      <c r="B4" t="s">
        <v>2863</v>
      </c>
      <c r="C4" t="s">
        <v>2864</v>
      </c>
      <c r="D4" t="s">
        <v>2863</v>
      </c>
      <c r="E4" t="s">
        <v>2864</v>
      </c>
      <c r="F4" t="s">
        <v>2860</v>
      </c>
      <c r="G4" t="s">
        <v>86</v>
      </c>
    </row>
    <row r="5" spans="1:7" ht="11.25" customHeight="1">
      <c r="A5" t="s">
        <v>14</v>
      </c>
      <c r="B5" t="s">
        <v>2865</v>
      </c>
      <c r="C5" t="s">
        <v>2866</v>
      </c>
      <c r="D5" t="s">
        <v>2865</v>
      </c>
      <c r="E5" t="s">
        <v>2866</v>
      </c>
      <c r="F5" t="s">
        <v>2860</v>
      </c>
      <c r="G5" t="s">
        <v>87</v>
      </c>
    </row>
    <row r="6" spans="1:7" ht="11.25" customHeight="1">
      <c r="A6" t="s">
        <v>14</v>
      </c>
      <c r="B6" t="s">
        <v>2867</v>
      </c>
      <c r="C6" t="s">
        <v>2868</v>
      </c>
      <c r="D6" t="s">
        <v>2867</v>
      </c>
      <c r="E6" t="s">
        <v>2868</v>
      </c>
      <c r="F6" t="s">
        <v>2860</v>
      </c>
      <c r="G6" t="s">
        <v>107</v>
      </c>
    </row>
    <row r="7" spans="1:7" ht="11.25" customHeight="1">
      <c r="A7" t="s">
        <v>14</v>
      </c>
      <c r="B7" t="s">
        <v>2869</v>
      </c>
      <c r="C7" t="s">
        <v>2870</v>
      </c>
      <c r="D7" t="s">
        <v>2871</v>
      </c>
      <c r="E7" t="s">
        <v>2872</v>
      </c>
      <c r="F7" t="s">
        <v>2873</v>
      </c>
      <c r="G7" t="s">
        <v>88</v>
      </c>
    </row>
    <row r="8" spans="1:7" ht="11.25" customHeight="1">
      <c r="A8" t="s">
        <v>14</v>
      </c>
      <c r="B8" t="s">
        <v>2869</v>
      </c>
      <c r="C8" t="s">
        <v>2870</v>
      </c>
      <c r="D8" t="s">
        <v>2874</v>
      </c>
      <c r="E8" t="s">
        <v>2875</v>
      </c>
      <c r="F8" t="s">
        <v>2876</v>
      </c>
      <c r="G8" t="s">
        <v>89</v>
      </c>
    </row>
    <row r="9" spans="1:7" ht="11.25" customHeight="1">
      <c r="A9" t="s">
        <v>14</v>
      </c>
      <c r="B9" t="s">
        <v>2869</v>
      </c>
      <c r="C9" t="s">
        <v>2870</v>
      </c>
      <c r="D9" t="s">
        <v>2877</v>
      </c>
      <c r="E9" t="s">
        <v>2878</v>
      </c>
      <c r="F9" t="s">
        <v>2873</v>
      </c>
      <c r="G9" t="s">
        <v>108</v>
      </c>
    </row>
    <row r="10" spans="1:7" ht="11.25" customHeight="1">
      <c r="A10" t="s">
        <v>14</v>
      </c>
      <c r="B10" t="s">
        <v>2869</v>
      </c>
      <c r="C10" t="s">
        <v>2870</v>
      </c>
      <c r="D10" t="s">
        <v>2869</v>
      </c>
      <c r="E10" t="s">
        <v>2870</v>
      </c>
      <c r="F10" t="s">
        <v>2879</v>
      </c>
      <c r="G10" t="s">
        <v>149</v>
      </c>
    </row>
    <row r="11" spans="1:7" ht="11.25" customHeight="1">
      <c r="A11" t="s">
        <v>14</v>
      </c>
      <c r="B11" t="s">
        <v>2869</v>
      </c>
      <c r="C11" t="s">
        <v>2870</v>
      </c>
      <c r="D11" t="s">
        <v>2880</v>
      </c>
      <c r="E11" t="s">
        <v>2881</v>
      </c>
      <c r="F11" t="s">
        <v>2882</v>
      </c>
      <c r="G11" t="s">
        <v>150</v>
      </c>
    </row>
    <row r="12" spans="1:7" ht="11.25" customHeight="1">
      <c r="A12" t="s">
        <v>14</v>
      </c>
      <c r="B12" t="s">
        <v>2883</v>
      </c>
      <c r="C12" t="s">
        <v>2884</v>
      </c>
      <c r="D12" t="s">
        <v>2883</v>
      </c>
      <c r="E12" t="s">
        <v>2884</v>
      </c>
      <c r="F12" t="s">
        <v>2885</v>
      </c>
      <c r="G12" t="s">
        <v>151</v>
      </c>
    </row>
    <row r="13" spans="1:7" ht="11.25" customHeight="1">
      <c r="A13" t="s">
        <v>14</v>
      </c>
      <c r="B13" t="s">
        <v>2886</v>
      </c>
      <c r="C13" t="s">
        <v>2887</v>
      </c>
      <c r="D13" t="s">
        <v>2886</v>
      </c>
      <c r="E13" t="s">
        <v>2887</v>
      </c>
      <c r="F13" t="s">
        <v>2879</v>
      </c>
      <c r="G13" t="s">
        <v>152</v>
      </c>
    </row>
    <row r="14" spans="1:7" ht="11.25" customHeight="1">
      <c r="A14" t="s">
        <v>14</v>
      </c>
      <c r="B14" t="s">
        <v>2886</v>
      </c>
      <c r="C14" t="s">
        <v>2887</v>
      </c>
      <c r="D14" t="s">
        <v>2888</v>
      </c>
      <c r="E14" t="s">
        <v>2889</v>
      </c>
      <c r="F14" t="s">
        <v>2873</v>
      </c>
      <c r="G14" t="s">
        <v>153</v>
      </c>
    </row>
    <row r="15" spans="1:7" ht="11.25" customHeight="1">
      <c r="A15" t="s">
        <v>14</v>
      </c>
      <c r="B15" t="s">
        <v>2886</v>
      </c>
      <c r="C15" t="s">
        <v>2887</v>
      </c>
      <c r="D15" t="s">
        <v>2890</v>
      </c>
      <c r="E15" t="s">
        <v>2891</v>
      </c>
      <c r="F15" t="s">
        <v>2882</v>
      </c>
      <c r="G15" t="s">
        <v>154</v>
      </c>
    </row>
    <row r="16" spans="1:7" ht="11.25" customHeight="1">
      <c r="A16" t="s">
        <v>14</v>
      </c>
      <c r="B16" t="s">
        <v>2886</v>
      </c>
      <c r="C16" t="s">
        <v>2887</v>
      </c>
      <c r="D16" t="s">
        <v>2892</v>
      </c>
      <c r="E16" t="s">
        <v>2893</v>
      </c>
      <c r="F16" t="s">
        <v>2882</v>
      </c>
      <c r="G16" t="s">
        <v>1430</v>
      </c>
    </row>
    <row r="17" spans="1:7" ht="11.25" customHeight="1">
      <c r="A17" t="s">
        <v>14</v>
      </c>
      <c r="B17" t="s">
        <v>2886</v>
      </c>
      <c r="C17" t="s">
        <v>2887</v>
      </c>
      <c r="D17" t="s">
        <v>2894</v>
      </c>
      <c r="E17" t="s">
        <v>2895</v>
      </c>
      <c r="F17" t="s">
        <v>2882</v>
      </c>
      <c r="G17" t="s">
        <v>1436</v>
      </c>
    </row>
    <row r="18" spans="1:7" ht="11.25" customHeight="1">
      <c r="A18" t="s">
        <v>14</v>
      </c>
      <c r="B18" t="s">
        <v>2886</v>
      </c>
      <c r="C18" t="s">
        <v>2887</v>
      </c>
      <c r="D18" t="s">
        <v>2896</v>
      </c>
      <c r="E18" t="s">
        <v>2897</v>
      </c>
      <c r="F18" t="s">
        <v>2882</v>
      </c>
      <c r="G18" t="s">
        <v>1448</v>
      </c>
    </row>
    <row r="19" spans="1:7" ht="11.25" customHeight="1">
      <c r="A19" t="s">
        <v>14</v>
      </c>
      <c r="B19" t="s">
        <v>2886</v>
      </c>
      <c r="C19" t="s">
        <v>2887</v>
      </c>
      <c r="D19" t="s">
        <v>2898</v>
      </c>
      <c r="E19" t="s">
        <v>2899</v>
      </c>
      <c r="F19" t="s">
        <v>2873</v>
      </c>
      <c r="G19" t="s">
        <v>1462</v>
      </c>
    </row>
    <row r="20" spans="1:7" ht="11.25" customHeight="1">
      <c r="A20" t="s">
        <v>14</v>
      </c>
      <c r="B20" t="s">
        <v>2886</v>
      </c>
      <c r="C20" t="s">
        <v>2887</v>
      </c>
      <c r="D20" t="s">
        <v>2900</v>
      </c>
      <c r="E20" t="s">
        <v>2901</v>
      </c>
      <c r="F20" t="s">
        <v>2873</v>
      </c>
      <c r="G20" t="s">
        <v>1474</v>
      </c>
    </row>
    <row r="21" spans="1:7" ht="11.25" customHeight="1">
      <c r="A21" t="s">
        <v>14</v>
      </c>
      <c r="B21" t="s">
        <v>2886</v>
      </c>
      <c r="C21" t="s">
        <v>2887</v>
      </c>
      <c r="D21" t="s">
        <v>2902</v>
      </c>
      <c r="E21" t="s">
        <v>2903</v>
      </c>
      <c r="F21" t="s">
        <v>2873</v>
      </c>
      <c r="G21" t="s">
        <v>1483</v>
      </c>
    </row>
    <row r="22" spans="1:7" ht="11.25" customHeight="1">
      <c r="A22" t="s">
        <v>14</v>
      </c>
      <c r="B22" t="s">
        <v>2886</v>
      </c>
      <c r="C22" t="s">
        <v>2887</v>
      </c>
      <c r="D22" t="s">
        <v>2904</v>
      </c>
      <c r="E22" t="s">
        <v>2905</v>
      </c>
      <c r="F22" t="s">
        <v>2876</v>
      </c>
      <c r="G22" t="s">
        <v>1499</v>
      </c>
    </row>
    <row r="23" spans="1:7" ht="11.25" customHeight="1">
      <c r="A23" t="s">
        <v>14</v>
      </c>
      <c r="B23" t="s">
        <v>2886</v>
      </c>
      <c r="C23" t="s">
        <v>2887</v>
      </c>
      <c r="D23" t="s">
        <v>2906</v>
      </c>
      <c r="E23" t="s">
        <v>2907</v>
      </c>
      <c r="F23" t="s">
        <v>2882</v>
      </c>
      <c r="G23" t="s">
        <v>1506</v>
      </c>
    </row>
    <row r="24" spans="1:7" ht="11.25" customHeight="1">
      <c r="A24" t="s">
        <v>14</v>
      </c>
      <c r="B24" t="s">
        <v>2886</v>
      </c>
      <c r="C24" t="s">
        <v>2887</v>
      </c>
      <c r="D24" t="s">
        <v>2908</v>
      </c>
      <c r="E24" t="s">
        <v>2909</v>
      </c>
      <c r="F24" t="s">
        <v>2873</v>
      </c>
      <c r="G24" t="s">
        <v>1514</v>
      </c>
    </row>
    <row r="25" spans="1:7" ht="11.25" customHeight="1">
      <c r="A25" t="s">
        <v>14</v>
      </c>
      <c r="B25" t="s">
        <v>2910</v>
      </c>
      <c r="C25" t="s">
        <v>2911</v>
      </c>
      <c r="D25" t="s">
        <v>2910</v>
      </c>
      <c r="E25" t="s">
        <v>2911</v>
      </c>
      <c r="F25" t="s">
        <v>2879</v>
      </c>
      <c r="G25" t="s">
        <v>1520</v>
      </c>
    </row>
    <row r="26" spans="1:7" ht="11.25" customHeight="1">
      <c r="A26" t="s">
        <v>14</v>
      </c>
      <c r="B26" t="s">
        <v>2910</v>
      </c>
      <c r="C26" t="s">
        <v>2911</v>
      </c>
      <c r="D26" t="s">
        <v>2912</v>
      </c>
      <c r="E26" t="s">
        <v>2913</v>
      </c>
      <c r="F26" t="s">
        <v>2882</v>
      </c>
      <c r="G26" t="s">
        <v>1524</v>
      </c>
    </row>
    <row r="27" spans="1:7" ht="11.25" customHeight="1">
      <c r="A27" t="s">
        <v>14</v>
      </c>
      <c r="B27" t="s">
        <v>2910</v>
      </c>
      <c r="C27" t="s">
        <v>2911</v>
      </c>
      <c r="D27" t="s">
        <v>2914</v>
      </c>
      <c r="E27" t="s">
        <v>2915</v>
      </c>
      <c r="F27" t="s">
        <v>2873</v>
      </c>
      <c r="G27" t="s">
        <v>1529</v>
      </c>
    </row>
    <row r="28" spans="1:7" ht="11.25" customHeight="1">
      <c r="A28" t="s">
        <v>14</v>
      </c>
      <c r="B28" t="s">
        <v>2916</v>
      </c>
      <c r="C28" t="s">
        <v>2917</v>
      </c>
      <c r="D28" t="s">
        <v>2916</v>
      </c>
      <c r="E28" t="s">
        <v>2917</v>
      </c>
      <c r="F28" t="s">
        <v>2885</v>
      </c>
      <c r="G28" t="s">
        <v>1537</v>
      </c>
    </row>
    <row r="29" spans="1:7" ht="11.25" customHeight="1">
      <c r="A29" t="s">
        <v>14</v>
      </c>
      <c r="B29" t="s">
        <v>2918</v>
      </c>
      <c r="C29" t="s">
        <v>2919</v>
      </c>
      <c r="D29" t="s">
        <v>2920</v>
      </c>
      <c r="E29" t="s">
        <v>2921</v>
      </c>
      <c r="F29" t="s">
        <v>2873</v>
      </c>
      <c r="G29" t="s">
        <v>1539</v>
      </c>
    </row>
    <row r="30" spans="1:7" ht="11.25" customHeight="1">
      <c r="A30" t="s">
        <v>14</v>
      </c>
      <c r="B30" t="s">
        <v>2918</v>
      </c>
      <c r="C30" t="s">
        <v>2919</v>
      </c>
      <c r="D30" t="s">
        <v>2922</v>
      </c>
      <c r="E30" t="s">
        <v>2923</v>
      </c>
      <c r="F30" t="s">
        <v>2882</v>
      </c>
      <c r="G30" t="s">
        <v>1542</v>
      </c>
    </row>
    <row r="31" spans="1:7" ht="11.25" customHeight="1">
      <c r="A31" t="s">
        <v>14</v>
      </c>
      <c r="B31" t="s">
        <v>2918</v>
      </c>
      <c r="C31" t="s">
        <v>2919</v>
      </c>
      <c r="D31" t="s">
        <v>2918</v>
      </c>
      <c r="E31" t="s">
        <v>2919</v>
      </c>
      <c r="F31" t="s">
        <v>2879</v>
      </c>
      <c r="G31" t="s">
        <v>1548</v>
      </c>
    </row>
    <row r="32" spans="1:7" ht="11.25" customHeight="1">
      <c r="A32" t="s">
        <v>14</v>
      </c>
      <c r="B32" t="s">
        <v>2924</v>
      </c>
      <c r="C32" t="s">
        <v>2925</v>
      </c>
      <c r="D32" t="s">
        <v>2924</v>
      </c>
      <c r="E32" t="s">
        <v>2925</v>
      </c>
      <c r="F32" t="s">
        <v>2885</v>
      </c>
      <c r="G32" t="s">
        <v>1550</v>
      </c>
    </row>
    <row r="33" spans="1:7" ht="11.25" customHeight="1">
      <c r="A33" t="s">
        <v>14</v>
      </c>
      <c r="B33" t="s">
        <v>96</v>
      </c>
      <c r="C33" t="s">
        <v>97</v>
      </c>
      <c r="D33" t="s">
        <v>96</v>
      </c>
      <c r="E33" t="s">
        <v>97</v>
      </c>
      <c r="F33" t="s">
        <v>2885</v>
      </c>
      <c r="G33" t="s">
        <v>95</v>
      </c>
    </row>
    <row r="34" spans="1:7" ht="11.25" customHeight="1">
      <c r="A34" t="s">
        <v>14</v>
      </c>
      <c r="B34" t="s">
        <v>2926</v>
      </c>
      <c r="C34" t="s">
        <v>2927</v>
      </c>
      <c r="D34" t="s">
        <v>2926</v>
      </c>
      <c r="E34" t="s">
        <v>2927</v>
      </c>
      <c r="F34" t="s">
        <v>2885</v>
      </c>
      <c r="G34" t="s">
        <v>1553</v>
      </c>
    </row>
    <row r="35" spans="1:7" ht="11.25" customHeight="1">
      <c r="A35" t="s">
        <v>14</v>
      </c>
      <c r="B35" t="s">
        <v>2928</v>
      </c>
      <c r="C35" t="s">
        <v>2929</v>
      </c>
      <c r="D35" t="s">
        <v>2928</v>
      </c>
      <c r="E35" t="s">
        <v>2929</v>
      </c>
      <c r="F35" t="s">
        <v>2885</v>
      </c>
      <c r="G35" t="s">
        <v>1558</v>
      </c>
    </row>
    <row r="36" spans="1:7" ht="11.25" customHeight="1">
      <c r="A36" t="s">
        <v>14</v>
      </c>
      <c r="B36" t="s">
        <v>2930</v>
      </c>
      <c r="C36" t="s">
        <v>2931</v>
      </c>
      <c r="D36" t="s">
        <v>2930</v>
      </c>
      <c r="E36" t="s">
        <v>2931</v>
      </c>
      <c r="F36" t="s">
        <v>2885</v>
      </c>
      <c r="G36" t="s">
        <v>1563</v>
      </c>
    </row>
    <row r="37" spans="1:7" ht="11.25" customHeight="1">
      <c r="A37" t="s">
        <v>14</v>
      </c>
      <c r="B37" t="s">
        <v>2932</v>
      </c>
      <c r="C37" t="s">
        <v>2933</v>
      </c>
      <c r="D37" t="s">
        <v>2932</v>
      </c>
      <c r="E37" t="s">
        <v>2933</v>
      </c>
      <c r="F37" t="s">
        <v>2860</v>
      </c>
      <c r="G37" t="s">
        <v>1567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21E88-F951-2E45-A593-BB460BD8CC7E}">
  <sheetPr>
    <tabColor rgb="FFFFCC99"/>
  </sheetPr>
  <dimension ref="A1:I3"/>
  <sheetViews>
    <sheetView showGridLines="0" workbookViewId="0"/>
  </sheetViews>
  <sheetFormatPr defaultColWidth="9.140625" defaultRowHeight="11.25" customHeight="1"/>
  <cols>
    <col min="1" max="1" width="13.85546875" style="33" customWidth="1"/>
    <col min="2" max="2" width="10.42578125" style="33" customWidth="1"/>
    <col min="3" max="3" width="7.5703125" style="33" customWidth="1"/>
    <col min="4" max="4" width="13.85546875" style="33" customWidth="1"/>
    <col min="5" max="5" width="11.5703125" style="33" customWidth="1"/>
    <col min="6" max="6" width="16.28515625" style="33" customWidth="1"/>
    <col min="7" max="7" width="16" style="33" customWidth="1"/>
    <col min="8" max="9" width="16.140625" style="33" customWidth="1"/>
  </cols>
  <sheetData>
    <row r="1" spans="1:9" ht="11.25" customHeight="1">
      <c r="A1" s="33" t="s">
        <v>2934</v>
      </c>
      <c r="B1" s="33" t="s">
        <v>2935</v>
      </c>
      <c r="C1" s="33" t="s">
        <v>2936</v>
      </c>
      <c r="D1" s="33" t="s">
        <v>2937</v>
      </c>
      <c r="E1" s="33" t="s">
        <v>2938</v>
      </c>
      <c r="F1" s="33" t="s">
        <v>2939</v>
      </c>
      <c r="G1" s="33" t="s">
        <v>2940</v>
      </c>
      <c r="H1" s="33" t="s">
        <v>2941</v>
      </c>
      <c r="I1" s="33" t="s">
        <v>2942</v>
      </c>
    </row>
    <row r="2" spans="1:9" ht="11.25" customHeight="1">
      <c r="A2" s="33" t="s">
        <v>105</v>
      </c>
      <c r="B2" s="33" t="s">
        <v>905</v>
      </c>
      <c r="C2" s="33" t="s">
        <v>2943</v>
      </c>
      <c r="D2" s="33" t="s">
        <v>909</v>
      </c>
      <c r="E2" s="33" t="s">
        <v>910</v>
      </c>
      <c r="F2" s="33" t="s">
        <v>911</v>
      </c>
      <c r="G2" s="33" t="s">
        <v>912</v>
      </c>
      <c r="H2" s="33" t="s">
        <v>913</v>
      </c>
      <c r="I2" s="33" t="s">
        <v>914</v>
      </c>
    </row>
    <row r="3" spans="1:9" ht="11.25" customHeight="1">
      <c r="A3" s="33" t="s">
        <v>106</v>
      </c>
      <c r="B3" s="33" t="s">
        <v>905</v>
      </c>
      <c r="C3" s="33" t="s">
        <v>2943</v>
      </c>
      <c r="D3" s="33" t="s">
        <v>909</v>
      </c>
      <c r="E3" s="33" t="s">
        <v>910</v>
      </c>
      <c r="F3" s="33" t="s">
        <v>911</v>
      </c>
      <c r="G3" s="33" t="s">
        <v>912</v>
      </c>
      <c r="H3" s="33" t="s">
        <v>913</v>
      </c>
      <c r="I3" s="33" t="s">
        <v>914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6D517-1957-E4E6-6A7A-91B560318065}">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CF86E-7DA4-2417-162C-17A0A9F6FEA3}">
  <sheetPr>
    <tabColor rgb="FFFFCC99"/>
  </sheetPr>
  <dimension ref="A1:B2"/>
  <sheetViews>
    <sheetView showGridLines="0" workbookViewId="0"/>
  </sheetViews>
  <sheetFormatPr defaultColWidth="9.140625" defaultRowHeight="11.25" customHeight="1"/>
  <cols>
    <col min="1" max="2" width="9.140625" style="3"/>
  </cols>
  <sheetData>
    <row r="1" spans="1:2" ht="11.25" customHeight="1">
      <c r="A1" s="3" t="s">
        <v>131</v>
      </c>
      <c r="B1" s="3" t="s">
        <v>2944</v>
      </c>
    </row>
    <row r="2" spans="1:2" ht="11.25" customHeight="1">
      <c r="A2" s="3" t="s">
        <v>94</v>
      </c>
      <c r="B2" s="3" t="s">
        <v>2945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C42B4-0376-D555-002B-D573D0704BE6}">
  <sheetPr>
    <tabColor rgb="FFFFCC99"/>
  </sheetPr>
  <dimension ref="A1:B11"/>
  <sheetViews>
    <sheetView showGridLines="0" workbookViewId="0"/>
  </sheetViews>
  <sheetFormatPr defaultColWidth="9.140625" defaultRowHeight="11.25" customHeight="1"/>
  <cols>
    <col min="1" max="1" width="9.140625" style="33"/>
    <col min="2" max="2" width="65.28515625" style="33" customWidth="1"/>
  </cols>
  <sheetData>
    <row r="1" spans="1:2" ht="11.25" customHeight="1">
      <c r="A1" s="33" t="s">
        <v>2946</v>
      </c>
      <c r="B1" s="33" t="s">
        <v>2947</v>
      </c>
    </row>
    <row r="2" spans="1:2" ht="11.25" customHeight="1">
      <c r="A2" s="33">
        <v>4213775</v>
      </c>
      <c r="B2" s="33" t="s">
        <v>1195</v>
      </c>
    </row>
    <row r="3" spans="1:2" ht="11.25" customHeight="1">
      <c r="A3" s="33">
        <v>4213784</v>
      </c>
      <c r="B3" s="33" t="s">
        <v>1229</v>
      </c>
    </row>
    <row r="4" spans="1:2" ht="11.25" customHeight="1">
      <c r="A4" s="33">
        <v>4213781</v>
      </c>
      <c r="B4" s="33" t="s">
        <v>1222</v>
      </c>
    </row>
    <row r="5" spans="1:2" ht="11.25" customHeight="1">
      <c r="A5" s="33">
        <v>4213776</v>
      </c>
      <c r="B5" s="33" t="s">
        <v>167</v>
      </c>
    </row>
    <row r="6" spans="1:2" ht="11.25" customHeight="1">
      <c r="A6" s="33">
        <v>4213777</v>
      </c>
      <c r="B6" s="33" t="s">
        <v>173</v>
      </c>
    </row>
    <row r="7" spans="1:2" ht="11.25" customHeight="1">
      <c r="A7" s="33">
        <v>4213778</v>
      </c>
      <c r="B7" s="33" t="s">
        <v>179</v>
      </c>
    </row>
    <row r="8" spans="1:2" ht="11.25" customHeight="1">
      <c r="A8" s="33">
        <v>4213780</v>
      </c>
      <c r="B8" s="33" t="s">
        <v>185</v>
      </c>
    </row>
    <row r="9" spans="1:2" ht="11.25" customHeight="1">
      <c r="A9" s="33">
        <v>4213779</v>
      </c>
      <c r="B9" s="33" t="s">
        <v>1358</v>
      </c>
    </row>
    <row r="10" spans="1:2" ht="11.25" customHeight="1">
      <c r="A10" s="33">
        <v>4213783</v>
      </c>
      <c r="B10" s="33" t="s">
        <v>1372</v>
      </c>
    </row>
    <row r="11" spans="1:2" ht="11.25" customHeight="1">
      <c r="A11" s="33">
        <v>4213782</v>
      </c>
      <c r="B11" s="33"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A6CBF-DD1F-2356-DA99-FBE41A169259}">
  <sheetPr>
    <tabColor rgb="FFFFCC99"/>
  </sheetPr>
  <dimension ref="A1:B11"/>
  <sheetViews>
    <sheetView showGridLines="0" workbookViewId="0"/>
  </sheetViews>
  <sheetFormatPr defaultColWidth="9.140625" defaultRowHeight="11.25" customHeight="1"/>
  <cols>
    <col min="1" max="1" width="9.140625" style="33"/>
    <col min="2" max="2" width="65.28515625" style="33" customWidth="1"/>
  </cols>
  <sheetData>
    <row r="1" spans="1:2" ht="11.25" customHeight="1">
      <c r="A1" s="33" t="s">
        <v>2946</v>
      </c>
      <c r="B1" s="33" t="s">
        <v>2948</v>
      </c>
    </row>
    <row r="2" spans="1:2" ht="11.25" customHeight="1">
      <c r="A2" s="33" t="s">
        <v>2949</v>
      </c>
      <c r="B2" s="33" t="s">
        <v>1468</v>
      </c>
    </row>
    <row r="3" spans="1:2" ht="11.25" customHeight="1">
      <c r="A3" s="33" t="s">
        <v>2950</v>
      </c>
      <c r="B3" s="33" t="s">
        <v>1478</v>
      </c>
    </row>
    <row r="4" spans="1:2" ht="11.25" customHeight="1">
      <c r="A4" s="33" t="s">
        <v>2951</v>
      </c>
      <c r="B4" s="33" t="s">
        <v>1487</v>
      </c>
    </row>
    <row r="5" spans="1:2" ht="11.25" customHeight="1">
      <c r="A5" s="33" t="s">
        <v>2952</v>
      </c>
      <c r="B5" s="33" t="s">
        <v>1496</v>
      </c>
    </row>
    <row r="6" spans="1:2" ht="11.25" customHeight="1">
      <c r="A6" s="33" t="s">
        <v>115</v>
      </c>
      <c r="B6" s="33" t="s">
        <v>1502</v>
      </c>
    </row>
    <row r="7" spans="1:2" ht="11.25" customHeight="1">
      <c r="A7" s="33" t="s">
        <v>2953</v>
      </c>
      <c r="B7" s="33" t="s">
        <v>1510</v>
      </c>
    </row>
    <row r="8" spans="1:2" ht="11.25" customHeight="1">
      <c r="A8" s="33" t="s">
        <v>2954</v>
      </c>
      <c r="B8" s="33" t="s">
        <v>1516</v>
      </c>
    </row>
    <row r="9" spans="1:2" ht="11.25" customHeight="1">
      <c r="A9" s="33" t="s">
        <v>2955</v>
      </c>
      <c r="B9" s="33" t="s">
        <v>1522</v>
      </c>
    </row>
    <row r="10" spans="1:2" ht="11.25" customHeight="1">
      <c r="A10" s="33" t="s">
        <v>2956</v>
      </c>
      <c r="B10" s="33" t="s">
        <v>1526</v>
      </c>
    </row>
    <row r="11" spans="1:2" ht="11.25" customHeight="1">
      <c r="A11" s="33" t="s">
        <v>2957</v>
      </c>
      <c r="B11" s="33" t="s">
        <v>1533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E3D91-0D5C-215A-6782-520BDE4402D3}">
  <sheetPr>
    <tabColor rgb="FFFFCC99"/>
  </sheetPr>
  <dimension ref="A1:G37"/>
  <sheetViews>
    <sheetView showGridLines="0" workbookViewId="0"/>
  </sheetViews>
  <sheetFormatPr defaultRowHeight="11.25" customHeight="1"/>
  <sheetData>
    <row r="1" spans="1:7" ht="11.25" customHeight="1">
      <c r="A1" t="s">
        <v>2851</v>
      </c>
      <c r="B1" t="s">
        <v>2852</v>
      </c>
      <c r="C1" t="s">
        <v>2853</v>
      </c>
      <c r="D1" t="s">
        <v>2854</v>
      </c>
      <c r="E1" t="s">
        <v>2855</v>
      </c>
      <c r="F1" t="s">
        <v>2856</v>
      </c>
      <c r="G1" t="s">
        <v>2857</v>
      </c>
    </row>
    <row r="2" spans="1:7" ht="11.25" customHeight="1">
      <c r="A2" t="s">
        <v>14</v>
      </c>
      <c r="B2" t="s">
        <v>2858</v>
      </c>
      <c r="C2" t="s">
        <v>2859</v>
      </c>
      <c r="D2" t="s">
        <v>2858</v>
      </c>
      <c r="E2" t="s">
        <v>2859</v>
      </c>
      <c r="F2" t="s">
        <v>2860</v>
      </c>
      <c r="G2" t="s">
        <v>105</v>
      </c>
    </row>
    <row r="3" spans="1:7" ht="11.25" customHeight="1">
      <c r="A3" t="s">
        <v>14</v>
      </c>
      <c r="B3" t="s">
        <v>2861</v>
      </c>
      <c r="C3" t="s">
        <v>2862</v>
      </c>
      <c r="D3" t="s">
        <v>2861</v>
      </c>
      <c r="E3" t="s">
        <v>2862</v>
      </c>
      <c r="F3" t="s">
        <v>2860</v>
      </c>
      <c r="G3" t="s">
        <v>106</v>
      </c>
    </row>
    <row r="4" spans="1:7" ht="11.25" customHeight="1">
      <c r="A4" t="s">
        <v>14</v>
      </c>
      <c r="B4" t="s">
        <v>2863</v>
      </c>
      <c r="C4" t="s">
        <v>2864</v>
      </c>
      <c r="D4" t="s">
        <v>2863</v>
      </c>
      <c r="E4" t="s">
        <v>2864</v>
      </c>
      <c r="F4" t="s">
        <v>2860</v>
      </c>
      <c r="G4" t="s">
        <v>86</v>
      </c>
    </row>
    <row r="5" spans="1:7" ht="11.25" customHeight="1">
      <c r="A5" t="s">
        <v>14</v>
      </c>
      <c r="B5" t="s">
        <v>2865</v>
      </c>
      <c r="C5" t="s">
        <v>2866</v>
      </c>
      <c r="D5" t="s">
        <v>2865</v>
      </c>
      <c r="E5" t="s">
        <v>2866</v>
      </c>
      <c r="F5" t="s">
        <v>2860</v>
      </c>
      <c r="G5" t="s">
        <v>87</v>
      </c>
    </row>
    <row r="6" spans="1:7" ht="11.25" customHeight="1">
      <c r="A6" t="s">
        <v>14</v>
      </c>
      <c r="B6" t="s">
        <v>2867</v>
      </c>
      <c r="C6" t="s">
        <v>2868</v>
      </c>
      <c r="D6" t="s">
        <v>2867</v>
      </c>
      <c r="E6" t="s">
        <v>2868</v>
      </c>
      <c r="F6" t="s">
        <v>2860</v>
      </c>
      <c r="G6" t="s">
        <v>107</v>
      </c>
    </row>
    <row r="7" spans="1:7" ht="11.25" customHeight="1">
      <c r="A7" t="s">
        <v>14</v>
      </c>
      <c r="B7" t="s">
        <v>2869</v>
      </c>
      <c r="C7" t="s">
        <v>2870</v>
      </c>
      <c r="D7" t="s">
        <v>2871</v>
      </c>
      <c r="E7" t="s">
        <v>2872</v>
      </c>
      <c r="F7" t="s">
        <v>2873</v>
      </c>
      <c r="G7" t="s">
        <v>88</v>
      </c>
    </row>
    <row r="8" spans="1:7" ht="11.25" customHeight="1">
      <c r="A8" t="s">
        <v>14</v>
      </c>
      <c r="B8" t="s">
        <v>2869</v>
      </c>
      <c r="C8" t="s">
        <v>2870</v>
      </c>
      <c r="D8" t="s">
        <v>2874</v>
      </c>
      <c r="E8" t="s">
        <v>2875</v>
      </c>
      <c r="F8" t="s">
        <v>2876</v>
      </c>
      <c r="G8" t="s">
        <v>89</v>
      </c>
    </row>
    <row r="9" spans="1:7" ht="11.25" customHeight="1">
      <c r="A9" t="s">
        <v>14</v>
      </c>
      <c r="B9" t="s">
        <v>2869</v>
      </c>
      <c r="C9" t="s">
        <v>2870</v>
      </c>
      <c r="D9" t="s">
        <v>2877</v>
      </c>
      <c r="E9" t="s">
        <v>2878</v>
      </c>
      <c r="F9" t="s">
        <v>2873</v>
      </c>
      <c r="G9" t="s">
        <v>108</v>
      </c>
    </row>
    <row r="10" spans="1:7" ht="11.25" customHeight="1">
      <c r="A10" t="s">
        <v>14</v>
      </c>
      <c r="B10" t="s">
        <v>2869</v>
      </c>
      <c r="C10" t="s">
        <v>2870</v>
      </c>
      <c r="D10" t="s">
        <v>2869</v>
      </c>
      <c r="E10" t="s">
        <v>2870</v>
      </c>
      <c r="F10" t="s">
        <v>2879</v>
      </c>
      <c r="G10" t="s">
        <v>149</v>
      </c>
    </row>
    <row r="11" spans="1:7" ht="11.25" customHeight="1">
      <c r="A11" t="s">
        <v>14</v>
      </c>
      <c r="B11" t="s">
        <v>2869</v>
      </c>
      <c r="C11" t="s">
        <v>2870</v>
      </c>
      <c r="D11" t="s">
        <v>2880</v>
      </c>
      <c r="E11" t="s">
        <v>2881</v>
      </c>
      <c r="F11" t="s">
        <v>2882</v>
      </c>
      <c r="G11" t="s">
        <v>150</v>
      </c>
    </row>
    <row r="12" spans="1:7" ht="11.25" customHeight="1">
      <c r="A12" t="s">
        <v>14</v>
      </c>
      <c r="B12" t="s">
        <v>2883</v>
      </c>
      <c r="C12" t="s">
        <v>2884</v>
      </c>
      <c r="D12" t="s">
        <v>2883</v>
      </c>
      <c r="E12" t="s">
        <v>2884</v>
      </c>
      <c r="F12" t="s">
        <v>2885</v>
      </c>
      <c r="G12" t="s">
        <v>151</v>
      </c>
    </row>
    <row r="13" spans="1:7" ht="11.25" customHeight="1">
      <c r="A13" t="s">
        <v>14</v>
      </c>
      <c r="B13" t="s">
        <v>2886</v>
      </c>
      <c r="C13" t="s">
        <v>2887</v>
      </c>
      <c r="D13" t="s">
        <v>2886</v>
      </c>
      <c r="E13" t="s">
        <v>2887</v>
      </c>
      <c r="F13" t="s">
        <v>2879</v>
      </c>
      <c r="G13" t="s">
        <v>152</v>
      </c>
    </row>
    <row r="14" spans="1:7" ht="11.25" customHeight="1">
      <c r="A14" t="s">
        <v>14</v>
      </c>
      <c r="B14" t="s">
        <v>2886</v>
      </c>
      <c r="C14" t="s">
        <v>2887</v>
      </c>
      <c r="D14" t="s">
        <v>2888</v>
      </c>
      <c r="E14" t="s">
        <v>2889</v>
      </c>
      <c r="F14" t="s">
        <v>2873</v>
      </c>
      <c r="G14" t="s">
        <v>153</v>
      </c>
    </row>
    <row r="15" spans="1:7" ht="11.25" customHeight="1">
      <c r="A15" t="s">
        <v>14</v>
      </c>
      <c r="B15" t="s">
        <v>2886</v>
      </c>
      <c r="C15" t="s">
        <v>2887</v>
      </c>
      <c r="D15" t="s">
        <v>2890</v>
      </c>
      <c r="E15" t="s">
        <v>2891</v>
      </c>
      <c r="F15" t="s">
        <v>2882</v>
      </c>
      <c r="G15" t="s">
        <v>154</v>
      </c>
    </row>
    <row r="16" spans="1:7" ht="11.25" customHeight="1">
      <c r="A16" t="s">
        <v>14</v>
      </c>
      <c r="B16" t="s">
        <v>2886</v>
      </c>
      <c r="C16" t="s">
        <v>2887</v>
      </c>
      <c r="D16" t="s">
        <v>2892</v>
      </c>
      <c r="E16" t="s">
        <v>2893</v>
      </c>
      <c r="F16" t="s">
        <v>2882</v>
      </c>
      <c r="G16" t="s">
        <v>1430</v>
      </c>
    </row>
    <row r="17" spans="1:7" ht="11.25" customHeight="1">
      <c r="A17" t="s">
        <v>14</v>
      </c>
      <c r="B17" t="s">
        <v>2886</v>
      </c>
      <c r="C17" t="s">
        <v>2887</v>
      </c>
      <c r="D17" t="s">
        <v>2894</v>
      </c>
      <c r="E17" t="s">
        <v>2895</v>
      </c>
      <c r="F17" t="s">
        <v>2882</v>
      </c>
      <c r="G17" t="s">
        <v>1436</v>
      </c>
    </row>
    <row r="18" spans="1:7" ht="11.25" customHeight="1">
      <c r="A18" t="s">
        <v>14</v>
      </c>
      <c r="B18" t="s">
        <v>2886</v>
      </c>
      <c r="C18" t="s">
        <v>2887</v>
      </c>
      <c r="D18" t="s">
        <v>2896</v>
      </c>
      <c r="E18" t="s">
        <v>2897</v>
      </c>
      <c r="F18" t="s">
        <v>2882</v>
      </c>
      <c r="G18" t="s">
        <v>1448</v>
      </c>
    </row>
    <row r="19" spans="1:7" ht="11.25" customHeight="1">
      <c r="A19" t="s">
        <v>14</v>
      </c>
      <c r="B19" t="s">
        <v>2886</v>
      </c>
      <c r="C19" t="s">
        <v>2887</v>
      </c>
      <c r="D19" t="s">
        <v>2898</v>
      </c>
      <c r="E19" t="s">
        <v>2899</v>
      </c>
      <c r="F19" t="s">
        <v>2873</v>
      </c>
      <c r="G19" t="s">
        <v>1462</v>
      </c>
    </row>
    <row r="20" spans="1:7" ht="11.25" customHeight="1">
      <c r="A20" t="s">
        <v>14</v>
      </c>
      <c r="B20" t="s">
        <v>2886</v>
      </c>
      <c r="C20" t="s">
        <v>2887</v>
      </c>
      <c r="D20" t="s">
        <v>2900</v>
      </c>
      <c r="E20" t="s">
        <v>2901</v>
      </c>
      <c r="F20" t="s">
        <v>2873</v>
      </c>
      <c r="G20" t="s">
        <v>1474</v>
      </c>
    </row>
    <row r="21" spans="1:7" ht="11.25" customHeight="1">
      <c r="A21" t="s">
        <v>14</v>
      </c>
      <c r="B21" t="s">
        <v>2886</v>
      </c>
      <c r="C21" t="s">
        <v>2887</v>
      </c>
      <c r="D21" t="s">
        <v>2902</v>
      </c>
      <c r="E21" t="s">
        <v>2903</v>
      </c>
      <c r="F21" t="s">
        <v>2873</v>
      </c>
      <c r="G21" t="s">
        <v>1483</v>
      </c>
    </row>
    <row r="22" spans="1:7" ht="11.25" customHeight="1">
      <c r="A22" t="s">
        <v>14</v>
      </c>
      <c r="B22" t="s">
        <v>2886</v>
      </c>
      <c r="C22" t="s">
        <v>2887</v>
      </c>
      <c r="D22" t="s">
        <v>2904</v>
      </c>
      <c r="E22" t="s">
        <v>2905</v>
      </c>
      <c r="F22" t="s">
        <v>2876</v>
      </c>
      <c r="G22" t="s">
        <v>1499</v>
      </c>
    </row>
    <row r="23" spans="1:7" ht="11.25" customHeight="1">
      <c r="A23" t="s">
        <v>14</v>
      </c>
      <c r="B23" t="s">
        <v>2886</v>
      </c>
      <c r="C23" t="s">
        <v>2887</v>
      </c>
      <c r="D23" t="s">
        <v>2906</v>
      </c>
      <c r="E23" t="s">
        <v>2907</v>
      </c>
      <c r="F23" t="s">
        <v>2882</v>
      </c>
      <c r="G23" t="s">
        <v>1506</v>
      </c>
    </row>
    <row r="24" spans="1:7" ht="11.25" customHeight="1">
      <c r="A24" t="s">
        <v>14</v>
      </c>
      <c r="B24" t="s">
        <v>2886</v>
      </c>
      <c r="C24" t="s">
        <v>2887</v>
      </c>
      <c r="D24" t="s">
        <v>2908</v>
      </c>
      <c r="E24" t="s">
        <v>2909</v>
      </c>
      <c r="F24" t="s">
        <v>2873</v>
      </c>
      <c r="G24" t="s">
        <v>1514</v>
      </c>
    </row>
    <row r="25" spans="1:7" ht="11.25" customHeight="1">
      <c r="A25" t="s">
        <v>14</v>
      </c>
      <c r="B25" t="s">
        <v>2910</v>
      </c>
      <c r="C25" t="s">
        <v>2911</v>
      </c>
      <c r="D25" t="s">
        <v>2910</v>
      </c>
      <c r="E25" t="s">
        <v>2911</v>
      </c>
      <c r="F25" t="s">
        <v>2879</v>
      </c>
      <c r="G25" t="s">
        <v>1520</v>
      </c>
    </row>
    <row r="26" spans="1:7" ht="11.25" customHeight="1">
      <c r="A26" t="s">
        <v>14</v>
      </c>
      <c r="B26" t="s">
        <v>2910</v>
      </c>
      <c r="C26" t="s">
        <v>2911</v>
      </c>
      <c r="D26" t="s">
        <v>2912</v>
      </c>
      <c r="E26" t="s">
        <v>2913</v>
      </c>
      <c r="F26" t="s">
        <v>2882</v>
      </c>
      <c r="G26" t="s">
        <v>1524</v>
      </c>
    </row>
    <row r="27" spans="1:7" ht="11.25" customHeight="1">
      <c r="A27" t="s">
        <v>14</v>
      </c>
      <c r="B27" t="s">
        <v>2910</v>
      </c>
      <c r="C27" t="s">
        <v>2911</v>
      </c>
      <c r="D27" t="s">
        <v>2914</v>
      </c>
      <c r="E27" t="s">
        <v>2915</v>
      </c>
      <c r="F27" t="s">
        <v>2873</v>
      </c>
      <c r="G27" t="s">
        <v>1529</v>
      </c>
    </row>
    <row r="28" spans="1:7" ht="11.25" customHeight="1">
      <c r="A28" t="s">
        <v>14</v>
      </c>
      <c r="B28" t="s">
        <v>2916</v>
      </c>
      <c r="C28" t="s">
        <v>2917</v>
      </c>
      <c r="D28" t="s">
        <v>2916</v>
      </c>
      <c r="E28" t="s">
        <v>2917</v>
      </c>
      <c r="F28" t="s">
        <v>2885</v>
      </c>
      <c r="G28" t="s">
        <v>1537</v>
      </c>
    </row>
    <row r="29" spans="1:7" ht="11.25" customHeight="1">
      <c r="A29" t="s">
        <v>14</v>
      </c>
      <c r="B29" t="s">
        <v>2918</v>
      </c>
      <c r="C29" t="s">
        <v>2919</v>
      </c>
      <c r="D29" t="s">
        <v>2920</v>
      </c>
      <c r="E29" t="s">
        <v>2921</v>
      </c>
      <c r="F29" t="s">
        <v>2873</v>
      </c>
      <c r="G29" t="s">
        <v>1539</v>
      </c>
    </row>
    <row r="30" spans="1:7" ht="11.25" customHeight="1">
      <c r="A30" t="s">
        <v>14</v>
      </c>
      <c r="B30" t="s">
        <v>2918</v>
      </c>
      <c r="C30" t="s">
        <v>2919</v>
      </c>
      <c r="D30" t="s">
        <v>2922</v>
      </c>
      <c r="E30" t="s">
        <v>2923</v>
      </c>
      <c r="F30" t="s">
        <v>2882</v>
      </c>
      <c r="G30" t="s">
        <v>1542</v>
      </c>
    </row>
    <row r="31" spans="1:7" ht="11.25" customHeight="1">
      <c r="A31" t="s">
        <v>14</v>
      </c>
      <c r="B31" t="s">
        <v>2918</v>
      </c>
      <c r="C31" t="s">
        <v>2919</v>
      </c>
      <c r="D31" t="s">
        <v>2918</v>
      </c>
      <c r="E31" t="s">
        <v>2919</v>
      </c>
      <c r="F31" t="s">
        <v>2879</v>
      </c>
      <c r="G31" t="s">
        <v>1548</v>
      </c>
    </row>
    <row r="32" spans="1:7" ht="11.25" customHeight="1">
      <c r="A32" t="s">
        <v>14</v>
      </c>
      <c r="B32" t="s">
        <v>2924</v>
      </c>
      <c r="C32" t="s">
        <v>2925</v>
      </c>
      <c r="D32" t="s">
        <v>2924</v>
      </c>
      <c r="E32" t="s">
        <v>2925</v>
      </c>
      <c r="F32" t="s">
        <v>2885</v>
      </c>
      <c r="G32" t="s">
        <v>1550</v>
      </c>
    </row>
    <row r="33" spans="1:7" ht="11.25" customHeight="1">
      <c r="A33" t="s">
        <v>14</v>
      </c>
      <c r="B33" t="s">
        <v>96</v>
      </c>
      <c r="C33" t="s">
        <v>97</v>
      </c>
      <c r="D33" t="s">
        <v>96</v>
      </c>
      <c r="E33" t="s">
        <v>97</v>
      </c>
      <c r="F33" t="s">
        <v>2885</v>
      </c>
      <c r="G33" t="s">
        <v>95</v>
      </c>
    </row>
    <row r="34" spans="1:7" ht="11.25" customHeight="1">
      <c r="A34" t="s">
        <v>14</v>
      </c>
      <c r="B34" t="s">
        <v>2926</v>
      </c>
      <c r="C34" t="s">
        <v>2927</v>
      </c>
      <c r="D34" t="s">
        <v>2926</v>
      </c>
      <c r="E34" t="s">
        <v>2927</v>
      </c>
      <c r="F34" t="s">
        <v>2885</v>
      </c>
      <c r="G34" t="s">
        <v>1553</v>
      </c>
    </row>
    <row r="35" spans="1:7" ht="11.25" customHeight="1">
      <c r="A35" t="s">
        <v>14</v>
      </c>
      <c r="B35" t="s">
        <v>2928</v>
      </c>
      <c r="C35" t="s">
        <v>2929</v>
      </c>
      <c r="D35" t="s">
        <v>2928</v>
      </c>
      <c r="E35" t="s">
        <v>2929</v>
      </c>
      <c r="F35" t="s">
        <v>2885</v>
      </c>
      <c r="G35" t="s">
        <v>1558</v>
      </c>
    </row>
    <row r="36" spans="1:7" ht="11.25" customHeight="1">
      <c r="A36" t="s">
        <v>14</v>
      </c>
      <c r="B36" t="s">
        <v>2930</v>
      </c>
      <c r="C36" t="s">
        <v>2931</v>
      </c>
      <c r="D36" t="s">
        <v>2930</v>
      </c>
      <c r="E36" t="s">
        <v>2931</v>
      </c>
      <c r="F36" t="s">
        <v>2885</v>
      </c>
      <c r="G36" t="s">
        <v>1563</v>
      </c>
    </row>
    <row r="37" spans="1:7" ht="11.25" customHeight="1">
      <c r="A37" t="s">
        <v>14</v>
      </c>
      <c r="B37" t="s">
        <v>2932</v>
      </c>
      <c r="C37" t="s">
        <v>2933</v>
      </c>
      <c r="D37" t="s">
        <v>2932</v>
      </c>
      <c r="E37" t="s">
        <v>2933</v>
      </c>
      <c r="F37" t="s">
        <v>2860</v>
      </c>
      <c r="G37" t="s">
        <v>1567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794D-40BF-58C1-F386-99223E0D7088}">
  <sheetPr>
    <tabColor rgb="FFFFCC99"/>
  </sheetPr>
  <dimension ref="A1:C3"/>
  <sheetViews>
    <sheetView showGridLines="0" workbookViewId="0"/>
  </sheetViews>
  <sheetFormatPr defaultColWidth="9.140625" defaultRowHeight="11.25" customHeight="1"/>
  <cols>
    <col min="1" max="1" width="9.140625" style="33"/>
    <col min="2" max="2" width="84.28515625" style="33" customWidth="1"/>
    <col min="3" max="3" width="9.140625" style="33"/>
  </cols>
  <sheetData>
    <row r="1" spans="1:3" ht="11.25" customHeight="1">
      <c r="A1" s="33" t="s">
        <v>2958</v>
      </c>
      <c r="B1" s="33" t="s">
        <v>2959</v>
      </c>
      <c r="C1" s="33" t="s">
        <v>1140</v>
      </c>
    </row>
    <row r="2" spans="1:3" ht="11.25" customHeight="1">
      <c r="A2" s="33">
        <v>4189678</v>
      </c>
      <c r="B2" s="33" t="s">
        <v>2960</v>
      </c>
      <c r="C2" s="33" t="s">
        <v>2961</v>
      </c>
    </row>
    <row r="3" spans="1:3" ht="11.25" customHeight="1">
      <c r="A3" s="33">
        <v>4190415</v>
      </c>
      <c r="B3" s="33" t="s">
        <v>2962</v>
      </c>
      <c r="C3" s="33" t="s">
        <v>2961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45F57-658C-CFFB-D44B-5FC452BB56AB}">
  <sheetPr>
    <tabColor rgb="FFFFCC99"/>
  </sheetPr>
  <dimension ref="A1:E8"/>
  <sheetViews>
    <sheetView showGridLines="0" workbookViewId="0"/>
  </sheetViews>
  <sheetFormatPr defaultColWidth="9.140625" defaultRowHeight="15" customHeight="1"/>
  <cols>
    <col min="1" max="1" width="38.42578125" style="1095" customWidth="1"/>
    <col min="2" max="5" width="9.140625" style="1095"/>
  </cols>
  <sheetData>
    <row r="1" spans="1:5" ht="15" customHeight="1">
      <c r="A1" s="75" t="s">
        <v>2963</v>
      </c>
      <c r="B1" s="75" t="s">
        <v>2964</v>
      </c>
      <c r="C1" s="75"/>
      <c r="D1" s="75"/>
      <c r="E1" s="75"/>
    </row>
    <row r="2" spans="1:5" ht="15" customHeight="1">
      <c r="A2" s="75"/>
      <c r="B2" s="75"/>
      <c r="C2" s="75"/>
      <c r="D2" s="75"/>
      <c r="E2" s="75"/>
    </row>
    <row r="3" spans="1:5" ht="15" customHeight="1">
      <c r="A3" s="75"/>
      <c r="B3" s="75"/>
      <c r="C3" s="75"/>
      <c r="D3" s="75"/>
      <c r="E3" s="75"/>
    </row>
    <row r="4" spans="1:5" ht="15" customHeight="1">
      <c r="A4" s="75"/>
      <c r="B4" s="75"/>
      <c r="C4" s="75"/>
      <c r="D4" s="75"/>
      <c r="E4" s="75"/>
    </row>
    <row r="5" spans="1:5" ht="15" customHeight="1">
      <c r="A5" s="75"/>
      <c r="B5" s="75"/>
      <c r="C5" s="75"/>
      <c r="D5" s="75"/>
      <c r="E5" s="75"/>
    </row>
    <row r="6" spans="1:5" ht="15" customHeight="1">
      <c r="A6" s="75"/>
      <c r="B6" s="75"/>
      <c r="C6" s="75"/>
      <c r="D6" s="75"/>
      <c r="E6" s="75"/>
    </row>
    <row r="7" spans="1:5" ht="15" customHeight="1">
      <c r="A7" s="75"/>
      <c r="B7" s="75"/>
      <c r="C7" s="75"/>
      <c r="D7" s="75"/>
      <c r="E7" s="75"/>
    </row>
    <row r="8" spans="1:5" ht="15" customHeight="1">
      <c r="A8" s="75"/>
      <c r="B8" s="75"/>
      <c r="C8" s="75"/>
      <c r="D8" s="75"/>
      <c r="E8" s="7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A0E2E-DA9E-C809-891D-F17770028EC2}">
  <sheetPr>
    <tabColor rgb="FFFFCC99"/>
  </sheetPr>
  <dimension ref="A1:B15"/>
  <sheetViews>
    <sheetView workbookViewId="0"/>
  </sheetViews>
  <sheetFormatPr defaultRowHeight="11.25" customHeight="1"/>
  <sheetData>
    <row r="1" spans="1:2" ht="11.25" customHeight="1">
      <c r="A1" t="s">
        <v>2965</v>
      </c>
      <c r="B1" t="b">
        <v>1</v>
      </c>
    </row>
    <row r="2" spans="1:2" ht="11.25" customHeight="1">
      <c r="A2" t="s">
        <v>2966</v>
      </c>
      <c r="B2" t="b">
        <v>0</v>
      </c>
    </row>
    <row r="3" spans="1:2" ht="11.25" customHeight="1">
      <c r="A3" t="s">
        <v>2967</v>
      </c>
      <c r="B3" t="b">
        <v>1</v>
      </c>
    </row>
    <row r="4" spans="1:2" ht="11.25" customHeight="1">
      <c r="A4" t="s">
        <v>2968</v>
      </c>
      <c r="B4" t="b">
        <v>0</v>
      </c>
    </row>
    <row r="5" spans="1:2" ht="11.25" customHeight="1">
      <c r="A5" t="s">
        <v>2969</v>
      </c>
      <c r="B5" t="b">
        <v>0</v>
      </c>
    </row>
    <row r="6" spans="1:2" ht="11.25" customHeight="1">
      <c r="A6" t="s">
        <v>2970</v>
      </c>
      <c r="B6" t="b">
        <v>0</v>
      </c>
    </row>
    <row r="7" spans="1:2" ht="11.25" customHeight="1">
      <c r="A7" t="s">
        <v>2971</v>
      </c>
      <c r="B7" t="b">
        <v>0</v>
      </c>
    </row>
    <row r="8" spans="1:2" ht="11.25" customHeight="1">
      <c r="A8" t="s">
        <v>2972</v>
      </c>
      <c r="B8" t="b">
        <v>0</v>
      </c>
    </row>
    <row r="9" spans="1:2" ht="11.25" customHeight="1">
      <c r="A9" t="s">
        <v>2973</v>
      </c>
      <c r="B9" t="b">
        <v>0</v>
      </c>
    </row>
    <row r="10" spans="1:2" ht="11.25" customHeight="1">
      <c r="A10" t="s">
        <v>2974</v>
      </c>
      <c r="B10" t="b">
        <v>1</v>
      </c>
    </row>
    <row r="11" spans="1:2" ht="11.25" customHeight="1">
      <c r="A11" t="s">
        <v>2975</v>
      </c>
      <c r="B11" t="b">
        <v>0</v>
      </c>
    </row>
    <row r="12" spans="1:2" ht="11.25" customHeight="1">
      <c r="A12" t="s">
        <v>2976</v>
      </c>
      <c r="B12" t="b">
        <v>0</v>
      </c>
    </row>
    <row r="13" spans="1:2" ht="11.25" customHeight="1">
      <c r="A13" t="s">
        <v>2977</v>
      </c>
      <c r="B13" t="b">
        <v>0</v>
      </c>
    </row>
    <row r="14" spans="1:2" ht="11.25" customHeight="1">
      <c r="A14" t="s">
        <v>2978</v>
      </c>
      <c r="B14" t="b">
        <v>0</v>
      </c>
    </row>
    <row r="15" spans="1:2" ht="11.25" customHeight="1">
      <c r="A15" t="s">
        <v>2979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D356F-5694-5B77-C506-46383227271A}">
  <sheetPr>
    <tabColor rgb="FFFFCC99"/>
  </sheetPr>
  <dimension ref="A1"/>
  <sheetViews>
    <sheetView showGridLines="0" workbookViewId="0"/>
  </sheetViews>
  <sheetFormatPr defaultColWidth="9.140625" defaultRowHeight="12.75" customHeight="1"/>
  <cols>
    <col min="1" max="1" width="9.140625" style="4"/>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8486C-8394-60A6-772A-D25F0F9FBBC1}">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6" t="s">
        <v>2980</v>
      </c>
      <c r="B1" s="6" t="s">
        <v>2981</v>
      </c>
    </row>
    <row r="2" spans="1:2" ht="11.25" customHeight="1">
      <c r="A2" s="2" t="s">
        <v>2982</v>
      </c>
      <c r="B2" s="2" t="s">
        <v>2983</v>
      </c>
    </row>
    <row r="3" spans="1:2" ht="11.25" customHeight="1">
      <c r="A3" s="2" t="s">
        <v>2984</v>
      </c>
      <c r="B3" s="2" t="s">
        <v>2985</v>
      </c>
    </row>
    <row r="4" spans="1:2" ht="11.25" customHeight="1">
      <c r="A4" s="2" t="s">
        <v>2986</v>
      </c>
      <c r="B4" s="2" t="s">
        <v>2987</v>
      </c>
    </row>
    <row r="5" spans="1:2" ht="11.25" customHeight="1">
      <c r="A5" s="2" t="s">
        <v>2988</v>
      </c>
      <c r="B5" s="2" t="s">
        <v>2989</v>
      </c>
    </row>
    <row r="6" spans="1:2" ht="11.25" customHeight="1">
      <c r="A6" s="2" t="s">
        <v>2990</v>
      </c>
      <c r="B6" s="2" t="s">
        <v>2991</v>
      </c>
    </row>
    <row r="7" spans="1:2" ht="11.25" customHeight="1">
      <c r="A7" s="2" t="s">
        <v>2992</v>
      </c>
      <c r="B7" s="2" t="s">
        <v>2993</v>
      </c>
    </row>
    <row r="8" spans="1:2" ht="11.25" customHeight="1">
      <c r="A8" s="2" t="s">
        <v>2994</v>
      </c>
      <c r="B8" s="2" t="s">
        <v>2995</v>
      </c>
    </row>
    <row r="9" spans="1:2" ht="11.25" customHeight="1">
      <c r="A9" s="2" t="s">
        <v>2996</v>
      </c>
      <c r="B9" s="2" t="s">
        <v>2997</v>
      </c>
    </row>
    <row r="10" spans="1:2" ht="11.25" customHeight="1">
      <c r="A10" s="2" t="s">
        <v>2998</v>
      </c>
      <c r="B10" s="2" t="s">
        <v>2999</v>
      </c>
    </row>
    <row r="11" spans="1:2" ht="11.25" customHeight="1">
      <c r="A11" s="2" t="s">
        <v>3000</v>
      </c>
      <c r="B11" s="2" t="s">
        <v>3001</v>
      </c>
    </row>
    <row r="12" spans="1:2" ht="11.25" customHeight="1">
      <c r="A12" s="2" t="s">
        <v>3002</v>
      </c>
      <c r="B12" s="2" t="s">
        <v>3003</v>
      </c>
    </row>
    <row r="13" spans="1:2" ht="11.25" customHeight="1">
      <c r="A13" s="2" t="s">
        <v>3004</v>
      </c>
      <c r="B13" s="2" t="s">
        <v>3005</v>
      </c>
    </row>
    <row r="14" spans="1:2" ht="11.25" customHeight="1">
      <c r="A14" s="2" t="s">
        <v>3006</v>
      </c>
      <c r="B14" s="2" t="s">
        <v>3007</v>
      </c>
    </row>
    <row r="15" spans="1:2" ht="11.25" customHeight="1">
      <c r="A15" s="2" t="s">
        <v>3008</v>
      </c>
      <c r="B15" s="2" t="s">
        <v>3009</v>
      </c>
    </row>
    <row r="16" spans="1:2" ht="11.25" customHeight="1">
      <c r="A16" s="2" t="s">
        <v>3010</v>
      </c>
      <c r="B16" s="2" t="s">
        <v>3011</v>
      </c>
    </row>
    <row r="17" spans="1:2" ht="11.25" customHeight="1">
      <c r="A17" s="2" t="s">
        <v>3012</v>
      </c>
      <c r="B17" s="2" t="s">
        <v>3013</v>
      </c>
    </row>
    <row r="18" spans="1:2" ht="11.25" customHeight="1">
      <c r="A18" s="2" t="s">
        <v>3014</v>
      </c>
      <c r="B18" s="2" t="s">
        <v>3015</v>
      </c>
    </row>
    <row r="19" spans="1:2" ht="11.25" customHeight="1">
      <c r="A19" s="2" t="s">
        <v>3016</v>
      </c>
      <c r="B19" s="2" t="s">
        <v>3017</v>
      </c>
    </row>
    <row r="20" spans="1:2" ht="11.25" customHeight="1">
      <c r="A20" s="2" t="s">
        <v>3018</v>
      </c>
      <c r="B20" s="2" t="s">
        <v>3019</v>
      </c>
    </row>
    <row r="21" spans="1:2" ht="11.25" customHeight="1">
      <c r="A21" s="2" t="s">
        <v>3020</v>
      </c>
      <c r="B21" s="2" t="s">
        <v>3021</v>
      </c>
    </row>
    <row r="22" spans="1:2" ht="11.25" customHeight="1">
      <c r="A22" s="2" t="s">
        <v>3022</v>
      </c>
      <c r="B22" s="2" t="s">
        <v>3023</v>
      </c>
    </row>
    <row r="23" spans="1:2" ht="11.25" customHeight="1">
      <c r="A23" s="2" t="s">
        <v>3024</v>
      </c>
      <c r="B23" s="2" t="s">
        <v>3025</v>
      </c>
    </row>
    <row r="24" spans="1:2" ht="11.25" customHeight="1">
      <c r="A24" s="2" t="s">
        <v>3026</v>
      </c>
      <c r="B24" s="2" t="s">
        <v>3027</v>
      </c>
    </row>
    <row r="25" spans="1:2" ht="11.25" customHeight="1">
      <c r="A25" s="2" t="s">
        <v>3028</v>
      </c>
      <c r="B25" s="2" t="s">
        <v>3029</v>
      </c>
    </row>
    <row r="26" spans="1:2" ht="11.25" customHeight="1">
      <c r="A26" s="2" t="s">
        <v>3030</v>
      </c>
      <c r="B26" s="2" t="s">
        <v>3031</v>
      </c>
    </row>
    <row r="27" spans="1:2" ht="11.25" customHeight="1">
      <c r="A27" s="2" t="s">
        <v>3032</v>
      </c>
      <c r="B27" s="2" t="s">
        <v>3033</v>
      </c>
    </row>
    <row r="28" spans="1:2" ht="11.25" customHeight="1">
      <c r="A28" s="2" t="s">
        <v>3034</v>
      </c>
      <c r="B28" s="2" t="s">
        <v>3035</v>
      </c>
    </row>
    <row r="29" spans="1:2" ht="11.25" customHeight="1">
      <c r="A29" s="2" t="s">
        <v>3036</v>
      </c>
      <c r="B29" s="2" t="s">
        <v>3037</v>
      </c>
    </row>
    <row r="30" spans="1:2" ht="11.25" customHeight="1">
      <c r="A30" s="2" t="s">
        <v>3038</v>
      </c>
      <c r="B30" s="2" t="s">
        <v>3039</v>
      </c>
    </row>
    <row r="31" spans="1:2" ht="11.25" customHeight="1">
      <c r="A31" s="2" t="s">
        <v>3040</v>
      </c>
      <c r="B31" s="2" t="s">
        <v>3041</v>
      </c>
    </row>
    <row r="32" spans="1:2" ht="11.25" customHeight="1">
      <c r="A32" s="2" t="s">
        <v>3042</v>
      </c>
      <c r="B32" s="2" t="s">
        <v>3043</v>
      </c>
    </row>
    <row r="33" spans="1:2" ht="11.25" customHeight="1">
      <c r="A33" s="2" t="s">
        <v>3044</v>
      </c>
      <c r="B33" s="2" t="s">
        <v>3045</v>
      </c>
    </row>
    <row r="34" spans="1:2" ht="11.25" customHeight="1">
      <c r="A34" s="2" t="s">
        <v>3046</v>
      </c>
      <c r="B34" s="2" t="s">
        <v>3047</v>
      </c>
    </row>
    <row r="35" spans="1:2" ht="11.25" customHeight="1">
      <c r="A35" s="2" t="s">
        <v>3048</v>
      </c>
      <c r="B35" s="2" t="s">
        <v>3049</v>
      </c>
    </row>
    <row r="36" spans="1:2" ht="11.25" customHeight="1">
      <c r="A36" s="2" t="s">
        <v>3050</v>
      </c>
      <c r="B36" s="2" t="s">
        <v>3051</v>
      </c>
    </row>
    <row r="37" spans="1:2" ht="11.25" customHeight="1">
      <c r="A37" s="2" t="s">
        <v>3052</v>
      </c>
      <c r="B37" s="2" t="s">
        <v>3053</v>
      </c>
    </row>
    <row r="38" spans="1:2" ht="11.25" customHeight="1">
      <c r="A38" s="2" t="s">
        <v>3054</v>
      </c>
      <c r="B38" s="2" t="s">
        <v>3055</v>
      </c>
    </row>
    <row r="39" spans="1:2" ht="11.25" customHeight="1">
      <c r="A39" s="2" t="s">
        <v>3056</v>
      </c>
      <c r="B39" s="2" t="s">
        <v>3057</v>
      </c>
    </row>
    <row r="40" spans="1:2" ht="11.25" customHeight="1">
      <c r="A40" s="2" t="s">
        <v>3058</v>
      </c>
      <c r="B40" s="2" t="s">
        <v>3059</v>
      </c>
    </row>
    <row r="41" spans="1:2" ht="11.25" customHeight="1">
      <c r="A41" s="2" t="s">
        <v>3060</v>
      </c>
      <c r="B41" s="2" t="s">
        <v>3061</v>
      </c>
    </row>
    <row r="42" spans="1:2" ht="11.25" customHeight="1">
      <c r="A42" s="2" t="s">
        <v>3062</v>
      </c>
      <c r="B42" s="2" t="s">
        <v>3063</v>
      </c>
    </row>
    <row r="43" spans="1:2" ht="11.25" customHeight="1">
      <c r="A43" s="2" t="s">
        <v>3064</v>
      </c>
      <c r="B43" s="2" t="s">
        <v>3065</v>
      </c>
    </row>
    <row r="44" spans="1:2" ht="11.25" customHeight="1">
      <c r="A44" s="2" t="s">
        <v>3066</v>
      </c>
      <c r="B44" s="2" t="s">
        <v>3067</v>
      </c>
    </row>
    <row r="45" spans="1:2" ht="11.25" customHeight="1">
      <c r="A45" s="2" t="s">
        <v>3068</v>
      </c>
      <c r="B45" s="2" t="s">
        <v>3069</v>
      </c>
    </row>
    <row r="46" spans="1:2" ht="11.25" customHeight="1">
      <c r="A46" s="2" t="s">
        <v>3070</v>
      </c>
      <c r="B46" s="2" t="s">
        <v>3071</v>
      </c>
    </row>
    <row r="47" spans="1:2" ht="11.25" customHeight="1">
      <c r="A47" s="2" t="s">
        <v>3072</v>
      </c>
      <c r="B47" s="2" t="s">
        <v>3073</v>
      </c>
    </row>
    <row r="48" spans="1:2" ht="11.25" customHeight="1">
      <c r="A48" s="2" t="s">
        <v>3074</v>
      </c>
      <c r="B48" s="2" t="s">
        <v>3075</v>
      </c>
    </row>
    <row r="49" spans="1:2" ht="11.25" customHeight="1">
      <c r="A49" s="2" t="s">
        <v>3076</v>
      </c>
      <c r="B49" s="2" t="s">
        <v>3077</v>
      </c>
    </row>
    <row r="50" spans="1:2" ht="11.25" customHeight="1">
      <c r="A50" s="2" t="s">
        <v>3078</v>
      </c>
      <c r="B50" s="2" t="s">
        <v>3079</v>
      </c>
    </row>
    <row r="51" spans="1:2" ht="11.25" customHeight="1">
      <c r="A51" s="2" t="s">
        <v>3080</v>
      </c>
      <c r="B51" s="2" t="s">
        <v>3081</v>
      </c>
    </row>
    <row r="52" spans="1:2" ht="11.25" customHeight="1">
      <c r="A52" s="2" t="s">
        <v>3082</v>
      </c>
      <c r="B52" s="2" t="s">
        <v>3083</v>
      </c>
    </row>
    <row r="53" spans="1:2" ht="11.25" customHeight="1">
      <c r="A53" s="2" t="s">
        <v>3084</v>
      </c>
      <c r="B53" s="2" t="s">
        <v>3085</v>
      </c>
    </row>
    <row r="54" spans="1:2" ht="11.25" customHeight="1">
      <c r="A54" s="2" t="s">
        <v>3086</v>
      </c>
      <c r="B54" s="2" t="s">
        <v>3087</v>
      </c>
    </row>
    <row r="55" spans="1:2" ht="11.25" customHeight="1">
      <c r="A55" s="2" t="s">
        <v>3088</v>
      </c>
      <c r="B55" s="2" t="s">
        <v>3089</v>
      </c>
    </row>
    <row r="56" spans="1:2" ht="11.25" customHeight="1">
      <c r="A56" s="2" t="s">
        <v>3090</v>
      </c>
      <c r="B56" s="2" t="s">
        <v>3091</v>
      </c>
    </row>
    <row r="57" spans="1:2" ht="11.25" customHeight="1">
      <c r="A57" s="2" t="s">
        <v>3092</v>
      </c>
      <c r="B57" s="2" t="s">
        <v>3093</v>
      </c>
    </row>
    <row r="58" spans="1:2" ht="11.25" customHeight="1">
      <c r="A58" s="2" t="s">
        <v>3094</v>
      </c>
      <c r="B58" s="2" t="s">
        <v>3095</v>
      </c>
    </row>
    <row r="59" spans="1:2" ht="11.25" customHeight="1">
      <c r="A59" s="2" t="s">
        <v>3096</v>
      </c>
      <c r="B59" s="2" t="s">
        <v>3097</v>
      </c>
    </row>
    <row r="60" spans="1:2" ht="11.25" customHeight="1">
      <c r="A60" s="2" t="s">
        <v>3098</v>
      </c>
      <c r="B60" s="2" t="s">
        <v>3099</v>
      </c>
    </row>
    <row r="61" spans="1:2" ht="11.25" customHeight="1">
      <c r="A61" s="2"/>
      <c r="B61" s="2" t="s">
        <v>3100</v>
      </c>
    </row>
    <row r="62" spans="1:2" ht="11.25" customHeight="1">
      <c r="A62" s="2"/>
      <c r="B62" s="2" t="s">
        <v>3101</v>
      </c>
    </row>
    <row r="63" spans="1:2" ht="11.25" customHeight="1">
      <c r="A63" s="2"/>
      <c r="B63" s="2" t="s">
        <v>3102</v>
      </c>
    </row>
    <row r="64" spans="1:2" ht="11.25" customHeight="1">
      <c r="A64" s="2"/>
      <c r="B64" s="2" t="s">
        <v>3103</v>
      </c>
    </row>
    <row r="65" spans="1:2" ht="11.25" customHeight="1">
      <c r="A65" s="2"/>
      <c r="B65" s="2" t="s">
        <v>3104</v>
      </c>
    </row>
    <row r="66" spans="1:2" ht="11.25" customHeight="1">
      <c r="A66" s="2"/>
      <c r="B66" s="2" t="s">
        <v>3105</v>
      </c>
    </row>
    <row r="67" spans="1:2" ht="11.25" customHeight="1">
      <c r="A67" s="2"/>
      <c r="B67" s="2" t="s">
        <v>3106</v>
      </c>
    </row>
    <row r="68" spans="1:2" ht="11.25" customHeight="1">
      <c r="A68" s="2"/>
      <c r="B68" s="2" t="s">
        <v>3107</v>
      </c>
    </row>
    <row r="69" spans="1:2" ht="11.25" customHeight="1">
      <c r="A69" s="2"/>
      <c r="B69" s="2" t="s">
        <v>3108</v>
      </c>
    </row>
    <row r="70" spans="1:2" ht="11.25" customHeight="1">
      <c r="A70" s="2"/>
      <c r="B70" s="2" t="s">
        <v>3109</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74006-2953-80E4-0CD8-6E7CD1820596}">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7" t="s">
        <v>3110</v>
      </c>
    </row>
    <row r="2" spans="2:4" ht="90" customHeight="1">
      <c r="B2" s="28" t="s">
        <v>3111</v>
      </c>
    </row>
    <row r="3" spans="2:4" ht="67.5" customHeight="1">
      <c r="B3" s="28" t="s">
        <v>3112</v>
      </c>
    </row>
    <row r="4" spans="2:4" ht="33.75" customHeight="1">
      <c r="B4" s="28" t="s">
        <v>3113</v>
      </c>
    </row>
    <row r="5" spans="2:4" ht="11.25" customHeight="1">
      <c r="B5" s="28" t="s">
        <v>3114</v>
      </c>
    </row>
    <row r="6" spans="2:4" ht="22.5" customHeight="1">
      <c r="B6" s="28" t="s">
        <v>3115</v>
      </c>
    </row>
    <row r="7" spans="2:4" ht="22.5" customHeight="1">
      <c r="B7" s="28" t="s">
        <v>3116</v>
      </c>
    </row>
    <row r="8" spans="2:4" ht="22.5" customHeight="1">
      <c r="B8" s="28" t="s">
        <v>3117</v>
      </c>
    </row>
    <row r="9" spans="2:4" ht="22.5" customHeight="1">
      <c r="B9" s="28" t="s">
        <v>3118</v>
      </c>
    </row>
    <row r="10" spans="2:4" ht="56.25" customHeight="1">
      <c r="B10" s="28" t="s">
        <v>3119</v>
      </c>
    </row>
    <row r="11" spans="2:4" ht="12.75" customHeight="1">
      <c r="B11" s="72" t="s">
        <v>3120</v>
      </c>
    </row>
    <row r="12" spans="2:4" ht="11.25" customHeight="1">
      <c r="B12" s="27" t="s">
        <v>3121</v>
      </c>
    </row>
    <row r="13" spans="2:4" ht="22.5" customHeight="1">
      <c r="B13" s="28" t="s">
        <v>3122</v>
      </c>
    </row>
    <row r="14" spans="2:4" ht="67.5" customHeight="1">
      <c r="B14" s="28" t="s">
        <v>3123</v>
      </c>
    </row>
    <row r="15" spans="2:4" ht="22.5" customHeight="1">
      <c r="B15" s="28" t="s">
        <v>3124</v>
      </c>
    </row>
    <row r="16" spans="2:4" ht="11.25" customHeight="1">
      <c r="B16" s="27" t="s">
        <v>3125</v>
      </c>
      <c r="D16" s="33"/>
    </row>
    <row r="17" spans="2:2" ht="33.75" customHeight="1">
      <c r="B17" s="28" t="s">
        <v>3126</v>
      </c>
    </row>
    <row r="18" spans="2:2" ht="33.75" customHeight="1">
      <c r="B18" s="28" t="s">
        <v>3127</v>
      </c>
    </row>
    <row r="19" spans="2:2" ht="11.25" customHeight="1">
      <c r="B19" s="28" t="s">
        <v>3128</v>
      </c>
    </row>
    <row r="20" spans="2:2" ht="33.75" customHeight="1">
      <c r="B20" s="28" t="s">
        <v>3129</v>
      </c>
    </row>
    <row r="21" spans="2:2" ht="11.25" customHeight="1">
      <c r="B21" s="27" t="s">
        <v>3130</v>
      </c>
    </row>
    <row r="22" spans="2:2" ht="11.25" customHeight="1">
      <c r="B22" s="28" t="s">
        <v>3131</v>
      </c>
    </row>
    <row r="24" spans="2:2" ht="22.5" customHeight="1">
      <c r="B24" s="74" t="s">
        <v>3132</v>
      </c>
    </row>
    <row r="26" spans="2:2" ht="11.25" customHeight="1">
      <c r="B26" s="27" t="s">
        <v>3133</v>
      </c>
    </row>
    <row r="27" spans="2:2" ht="22.5" customHeight="1">
      <c r="B27" s="73" t="s">
        <v>395</v>
      </c>
    </row>
    <row r="28" spans="2:2" ht="56.25" customHeight="1">
      <c r="B28" s="73" t="s">
        <v>3134</v>
      </c>
    </row>
    <row r="29" spans="2:2" ht="11.25" customHeight="1">
      <c r="B29" s="113" t="s">
        <v>3135</v>
      </c>
    </row>
    <row r="30" spans="2:2" ht="22.5" customHeight="1">
      <c r="B30" s="73" t="s">
        <v>3136</v>
      </c>
    </row>
    <row r="32" spans="2:2" ht="11.25" customHeight="1">
      <c r="B32" s="96" t="s">
        <v>3137</v>
      </c>
    </row>
    <row r="33" spans="1:2" ht="14.25" customHeight="1">
      <c r="A33" s="97">
        <v>1</v>
      </c>
      <c r="B33" s="98" t="s">
        <v>3138</v>
      </c>
    </row>
    <row r="34" spans="1:2" ht="14.25" customHeight="1">
      <c r="A34" s="97">
        <v>2</v>
      </c>
      <c r="B34" s="98" t="s">
        <v>3139</v>
      </c>
    </row>
    <row r="35" spans="1:2" ht="11.25" customHeight="1">
      <c r="B35" s="96" t="s">
        <v>3140</v>
      </c>
    </row>
    <row r="36" spans="1:2" ht="11.25" customHeight="1">
      <c r="B36" s="98" t="s">
        <v>3141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2084</vt:i4>
      </vt:variant>
    </vt:vector>
  </HeadingPairs>
  <TitlesOfParts>
    <vt:vector size="217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IP_DETAILED_ip_5</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IP_FIN_PLAN_ip_5</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IP_MAIN_ip_5</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IP_QRE_ip_5</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Губкина Мария</cp:lastModifiedBy>
  <cp:lastPrinted>2013-08-29T08:11:20Z</cp:lastPrinted>
  <dcterms:created xsi:type="dcterms:W3CDTF">2004-05-21T07:18:45Z</dcterms:created>
  <dcterms:modified xsi:type="dcterms:W3CDTF">2024-05-20T12:32:27Z</dcterms:modified>
</cp:coreProperties>
</file>